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20040" windowHeight="17775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I57" i="1" l="1"/>
  <c r="F57" i="1"/>
  <c r="H57" i="1" l="1"/>
  <c r="E57" i="1"/>
  <c r="F41" i="1" l="1"/>
  <c r="F42" i="1"/>
  <c r="F43" i="1"/>
  <c r="H29" i="2" l="1"/>
  <c r="F44" i="1" l="1"/>
  <c r="D56" i="6" l="1"/>
  <c r="F47" i="1" l="1"/>
  <c r="F46" i="1"/>
  <c r="E29" i="2" s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I29" i="1"/>
  <c r="G30" i="1"/>
  <c r="J30" i="1"/>
  <c r="G31" i="1"/>
  <c r="J31" i="1"/>
  <c r="H32" i="1" l="1"/>
  <c r="F32" i="1"/>
  <c r="E32" i="1"/>
  <c r="G29" i="1"/>
  <c r="J29" i="1"/>
  <c r="J25" i="1"/>
  <c r="G25" i="1"/>
  <c r="I32" i="1"/>
  <c r="J32" i="1" l="1"/>
  <c r="G32" i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F29" i="2" s="1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<sst xmlns="http://schemas.openxmlformats.org/spreadsheetml/2006/main" count="315" uniqueCount="135">
  <si>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</si>
  <si>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</si>
  <si>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</si>
  <si>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</si>
  <si>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</si>
  <si>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</si>
  <si>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</si>
  <si>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</si>
  <si>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</si>
  <si>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</si>
  <si>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</si>
  <si>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</si>
  <si>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</si>
  <si>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</si>
  <si>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</si>
  <si>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</si>
  <si>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</si>
  <si>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</si>
  <si>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</si>
  <si>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</si>
  <si>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</si>
  <si>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</si>
  <si>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</si>
  <si>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</si>
  <si>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</si>
  <si>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</si>
  <si>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</si>
  <si>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</si>
  <si>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</si>
  <si>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</si>
  <si>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</si>
  <si>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</si>
  <si>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</si>
  <si>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</si>
  <si>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</si>
  <si>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</si>
  <si>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</si>
  <si>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</si>
  <si>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</si>
  <si>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</si>
  <si>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</si>
  <si>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</si>
  <si>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</si>
  <si>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</si>
  <si>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</si>
  <si>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</si>
  <si>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</si>
  <si>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</si>
  <si>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</si>
  <si>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</si>
  <si>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</si>
  <si>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</si>
  <si>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</si>
  <si>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</si>
  <si>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</si>
  <si>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</si>
  <si>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</si>
  <si>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</si>
  <si>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</si>
  <si>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</si>
  <si>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</si>
  <si>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</si>
  <si>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</si>
  <si>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</si>
  <si>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</si>
  <si>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</si>
  <si>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</si>
  <si>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</si>
  <si>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</si>
  <si>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</si>
  <si>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</si>
  <si>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</si>
  <si>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</si>
  <si>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</si>
  <si>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</si>
  <si>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</si>
  <si>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</si>
  <si>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</si>
  <si>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</si>
  <si>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</si>
  <si>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</si>
  <si>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</si>
  <si>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</si>
  <si>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</si>
  <si>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</si>
  <si>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</si>
  <si>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</si>
  <si>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</si>
  <si>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</si>
  <si>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</si>
  <si>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</si>
  <si>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</si>
  <si>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</si>
  <si>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</si>
  <si>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</si>
  <si>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</si>
  <si>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</si>
  <si>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</si>
  <si>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</si>
  <si>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</si>
  <si>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</si>
  <si>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</si>
  <si>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</si>
  <si>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</si>
  <si>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</si>
  <si>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</si>
  <si>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</si>
  <si>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</si>
  <si>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</si>
  <si>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</si>
  <si>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</si>
  <si>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</si>
  <si>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</si>
  <si>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</si>
  <si>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</si>
  <si>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</si>
  <si>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</si>
  <si>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</si>
  <si>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</si>
  <si>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</si>
  <si>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</si>
  <si>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</si>
  <si>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</si>
  <si>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</si>
  <si>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</si>
  <si>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</si>
  <si>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</si>
  <si>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</si>
  <si>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SETIEMBRE 2023</t>
  </si>
  <si>
    <t>Setiembre</t>
  </si>
  <si>
    <t>Enero - Setiembre</t>
  </si>
  <si>
    <t>Grafico N° 11: Generación de energía eléctrica por Región, al mes de setiembre 2023</t>
  </si>
  <si>
    <t>Cuadro N° 8: Producción de energía eléctrica nacional por zona del país, al mes de setiembre</t>
  </si>
  <si>
    <t>3.2 Producción de energía eléctrica (GWh) por origen y zona al mes de setiembre 2023</t>
  </si>
  <si>
    <t>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</si>
</sst>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0" borderId="32" xfId="33743" applyFont="1" applyBorder="1" applyAlignment="1">
      <alignment horizontal="center"/>
    </xf>
    <xf numFmtId="178" fontId="76" fillId="0" borderId="73" xfId="33743" applyNumberFormat="1" applyFont="1" applyBorder="1"/>
    <xf numFmtId="0" fontId="96" fillId="0" borderId="0" xfId="33743" applyNumberFormat="1" applyFont="1" applyAlignment="1">
      <alignment horizontal="center"/>
    </xf>
    <xf numFmtId="3" fontId="0" fillId="68" borderId="113" xfId="0" applyNumberFormat="1" applyFill="1" applyBorder="1"/>
    <xf numFmtId="3" fontId="93" fillId="68" borderId="75" xfId="33743" applyNumberFormat="1" applyFont="1" applyFill="1" applyBorder="1"/>
    <xf numFmtId="9" fontId="96" fillId="68" borderId="32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9" fontId="96" fillId="68" borderId="32" xfId="33743" applyNumberFormat="1" applyFont="1" applyFill="1" applyBorder="1" applyAlignment="1">
      <alignment horizontal="center"/>
    </xf>
    <xf numFmtId="167" fontId="0" fillId="68" borderId="27" xfId="0" applyNumberFormat="1" applyFill="1" applyBorder="1" applyAlignment="1">
      <alignment vertical="center"/>
    </xf>
    <xf numFmtId="167" fontId="0" fillId="68" borderId="63" xfId="0" applyNumberFormat="1" applyFill="1" applyBorder="1" applyAlignment="1">
      <alignment vertical="center"/>
    </xf>
    <xf numFmtId="178" fontId="76" fillId="68" borderId="32" xfId="33743" applyNumberFormat="1" applyFont="1" applyFill="1" applyBorder="1"/>
    <xf numFmtId="167" fontId="99" fillId="0" borderId="28" xfId="0" applyNumberFormat="1" applyFont="1" applyBorder="1"/>
    <xf numFmtId="167" fontId="99" fillId="0" borderId="60" xfId="0" applyNumberFormat="1" applyFont="1" applyBorder="1"/>
    <xf numFmtId="9" fontId="76" fillId="68" borderId="25" xfId="33743" applyNumberFormat="1" applyFon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1947.7908916795627</c:v>
                </c:pt>
                <c:pt idx="1">
                  <c:v>2736.2411323762176</c:v>
                </c:pt>
                <c:pt idx="2">
                  <c:v>202.603039</c:v>
                </c:pt>
                <c:pt idx="3">
                  <c:v>74.937694999999991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1590.6584810016159</c:v>
                </c:pt>
                <c:pt idx="1">
                  <c:v>3148.7103620825505</c:v>
                </c:pt>
                <c:pt idx="2">
                  <c:v>250.5474758175001</c:v>
                </c:pt>
                <c:pt idx="3">
                  <c:v>100.29323823500006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642496"/>
        <c:axId val="327644672"/>
      </c:barChart>
      <c:catAx>
        <c:axId val="327642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644672"/>
        <c:crosses val="autoZero"/>
        <c:auto val="1"/>
        <c:lblAlgn val="ctr"/>
        <c:lblOffset val="100"/>
        <c:noMultiLvlLbl val="0"/>
      </c:catAx>
      <c:valAx>
        <c:axId val="327644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64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1306.5668762947275</c:v>
                </c:pt>
                <c:pt idx="2" formatCode="_ * #,##0.00_ ;_ * \-#,##0.00_ ;_ * &quot;-&quot;??_ ;_ @_ ">
                  <c:v>6.4599999999999996E-3</c:v>
                </c:pt>
                <c:pt idx="3">
                  <c:v>2752.4795105983326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147.29310947999994</c:v>
                </c:pt>
                <c:pt idx="1">
                  <c:v>212.9891706061164</c:v>
                </c:pt>
                <c:pt idx="2">
                  <c:v>100.31162323500006</c:v>
                </c:pt>
                <c:pt idx="3">
                  <c:v>239.36454456929198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35.988996810667828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4059.0528468930602</c:v>
                </c:pt>
                <c:pt idx="1">
                  <c:v>699.95844789040837</c:v>
                </c:pt>
                <c:pt idx="2">
                  <c:v>295.20926554253037</c:v>
                </c:pt>
                <c:pt idx="3">
                  <c:v>35.988996810667828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0060928"/>
        <c:axId val="330065408"/>
      </c:barChart>
      <c:catAx>
        <c:axId val="3300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0065408"/>
        <c:crosses val="autoZero"/>
        <c:auto val="1"/>
        <c:lblAlgn val="ctr"/>
        <c:lblOffset val="100"/>
        <c:noMultiLvlLbl val="0"/>
      </c:catAx>
      <c:valAx>
        <c:axId val="3300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006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ICA</c:v>
                </c:pt>
                <c:pt idx="4">
                  <c:v>MOQUEGUA</c:v>
                </c:pt>
                <c:pt idx="5">
                  <c:v>AREQUIPA</c:v>
                </c:pt>
                <c:pt idx="6">
                  <c:v>JUNIN</c:v>
                </c:pt>
                <c:pt idx="7">
                  <c:v>PIURA</c:v>
                </c:pt>
                <c:pt idx="8">
                  <c:v>CUSCO</c:v>
                </c:pt>
                <c:pt idx="9">
                  <c:v>LA LIBERTAD</c:v>
                </c:pt>
                <c:pt idx="10">
                  <c:v>ANCASH</c:v>
                </c:pt>
                <c:pt idx="11">
                  <c:v>UCAYALI</c:v>
                </c:pt>
                <c:pt idx="12">
                  <c:v>CAJAMARCA</c:v>
                </c:pt>
                <c:pt idx="13">
                  <c:v>PUNO</c:v>
                </c:pt>
                <c:pt idx="14">
                  <c:v>LORETO</c:v>
                </c:pt>
                <c:pt idx="15">
                  <c:v>PASCO</c:v>
                </c:pt>
                <c:pt idx="16">
                  <c:v>HUANUCO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2753.0380640208205</c:v>
                </c:pt>
                <c:pt idx="1">
                  <c:v>596.87602194201202</c:v>
                </c:pt>
                <c:pt idx="2">
                  <c:v>361.76374957259247</c:v>
                </c:pt>
                <c:pt idx="3">
                  <c:v>200.67972831499995</c:v>
                </c:pt>
                <c:pt idx="4">
                  <c:v>164.4697391249999</c:v>
                </c:pt>
                <c:pt idx="5">
                  <c:v>161.04908611184587</c:v>
                </c:pt>
                <c:pt idx="6">
                  <c:v>145.28480350933771</c:v>
                </c:pt>
                <c:pt idx="7">
                  <c:v>123.5160856499393</c:v>
                </c:pt>
                <c:pt idx="8">
                  <c:v>115.64783461969674</c:v>
                </c:pt>
                <c:pt idx="9">
                  <c:v>102.85207917880747</c:v>
                </c:pt>
                <c:pt idx="10">
                  <c:v>89.524252384872355</c:v>
                </c:pt>
                <c:pt idx="11">
                  <c:v>57.834074164999983</c:v>
                </c:pt>
                <c:pt idx="12">
                  <c:v>56.064351096109583</c:v>
                </c:pt>
                <c:pt idx="13">
                  <c:v>45.84980507186193</c:v>
                </c:pt>
                <c:pt idx="14">
                  <c:v>35.988996810667828</c:v>
                </c:pt>
                <c:pt idx="15">
                  <c:v>35.276137587922243</c:v>
                </c:pt>
                <c:pt idx="16">
                  <c:v>19.455743710502617</c:v>
                </c:pt>
                <c:pt idx="17">
                  <c:v>8.8965043248507012</c:v>
                </c:pt>
                <c:pt idx="18">
                  <c:v>6.4756233525000004</c:v>
                </c:pt>
                <c:pt idx="19">
                  <c:v>3.6183462931508572</c:v>
                </c:pt>
                <c:pt idx="20">
                  <c:v>2.2408275377902052</c:v>
                </c:pt>
                <c:pt idx="21">
                  <c:v>1.5822319720231051</c:v>
                </c:pt>
                <c:pt idx="22">
                  <c:v>1.1005480000000001</c:v>
                </c:pt>
                <c:pt idx="23">
                  <c:v>1.0200949149718432</c:v>
                </c:pt>
                <c:pt idx="24">
                  <c:v>0.10482786939116587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27895296"/>
        <c:axId val="327917568"/>
      </c:barChart>
      <c:catAx>
        <c:axId val="327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27917568"/>
        <c:crosses val="autoZero"/>
        <c:auto val="1"/>
        <c:lblAlgn val="ctr"/>
        <c:lblOffset val="100"/>
        <c:noMultiLvlLbl val="0"/>
      </c:catAx>
      <c:valAx>
        <c:axId val="327917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27895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147.45928931828064</c:v>
                </c:pt>
                <c:pt idx="1">
                  <c:v>152.34220980064157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4814.1134687374997</c:v>
                </c:pt>
                <c:pt idx="1">
                  <c:v>4937.8673473360259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778688"/>
        <c:axId val="327780224"/>
        <c:axId val="146167104"/>
      </c:bar3DChart>
      <c:catAx>
        <c:axId val="32777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780224"/>
        <c:crosses val="autoZero"/>
        <c:auto val="1"/>
        <c:lblAlgn val="ctr"/>
        <c:lblOffset val="100"/>
        <c:noMultiLvlLbl val="0"/>
      </c:catAx>
      <c:valAx>
        <c:axId val="3277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778688"/>
        <c:crosses val="autoZero"/>
        <c:crossBetween val="between"/>
      </c:valAx>
      <c:serAx>
        <c:axId val="146167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7802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1836.1189415245628</c:v>
                </c:pt>
                <c:pt idx="1">
                  <c:v>1497.287326526616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2682.7743953762179</c:v>
                </c:pt>
                <c:pt idx="1">
                  <c:v>3091.7773010666078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111.67195015499978</c:v>
                </c:pt>
                <c:pt idx="1">
                  <c:v>93.371154474999997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331.00747099999995</c:v>
                </c:pt>
                <c:pt idx="1">
                  <c:v>407.77377506844311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7352704"/>
        <c:axId val="327354240"/>
        <c:axId val="0"/>
      </c:bar3DChart>
      <c:catAx>
        <c:axId val="3273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354240"/>
        <c:crosses val="autoZero"/>
        <c:auto val="1"/>
        <c:lblAlgn val="ctr"/>
        <c:lblOffset val="100"/>
        <c:noMultiLvlLbl val="0"/>
      </c:catAx>
      <c:valAx>
        <c:axId val="32735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35270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Setiembre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5 090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5.3295631988503822E-3"/>
                  <c:y val="0.156674118447505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050391886794439E-2"/>
                  <c:y val="-0.166059610836287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57007487590312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1.62421538886530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8.12103431400133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3262795420431467"/>
                  <c:y val="-0.11301682874716296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Mcdo. Elect. 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/>
                      <a:t>4 943; 97%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35.474224831346504</c:v>
                </c:pt>
                <c:pt idx="1">
                  <c:v>111.72172882569294</c:v>
                </c:pt>
                <c:pt idx="2">
                  <c:v>1555.1842561702695</c:v>
                </c:pt>
                <c:pt idx="3">
                  <c:v>3036.9886332568576</c:v>
                </c:pt>
                <c:pt idx="4">
                  <c:v>350.84071405250018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4630.5652870557815</c:v>
                </c:pt>
                <c:pt idx="1">
                  <c:v>4682.4357820682235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331.0074709999999</c:v>
                </c:pt>
                <c:pt idx="1">
                  <c:v>407.77377506844306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27199360"/>
        <c:axId val="327221632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2285787521727E-3"/>
                  <c:y val="-3.5628493806695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6.6714222917030636E-2</c:v>
                </c:pt>
                <c:pt idx="1">
                  <c:v>8.0109427812599346E-2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33536"/>
        <c:axId val="327223552"/>
      </c:lineChart>
      <c:catAx>
        <c:axId val="3271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221632"/>
        <c:crosses val="autoZero"/>
        <c:auto val="1"/>
        <c:lblAlgn val="ctr"/>
        <c:lblOffset val="100"/>
        <c:noMultiLvlLbl val="1"/>
      </c:catAx>
      <c:valAx>
        <c:axId val="32722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199360"/>
        <c:crosses val="autoZero"/>
        <c:crossBetween val="between"/>
        <c:majorUnit val="1000"/>
      </c:valAx>
      <c:valAx>
        <c:axId val="327223552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7233536"/>
        <c:crosses val="max"/>
        <c:crossBetween val="between"/>
      </c:valAx>
      <c:catAx>
        <c:axId val="32723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7223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1947.7908916795627</c:v>
                </c:pt>
                <c:pt idx="1">
                  <c:v>2604.660922</c:v>
                </c:pt>
                <c:pt idx="2">
                  <c:v>76.606873376218573</c:v>
                </c:pt>
                <c:pt idx="4" formatCode="#,##0.00">
                  <c:v>1.5065999999999999</c:v>
                </c:pt>
                <c:pt idx="5">
                  <c:v>53.466736999999966</c:v>
                </c:pt>
                <c:pt idx="6">
                  <c:v>202.603039</c:v>
                </c:pt>
                <c:pt idx="7">
                  <c:v>74.937694999999991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1590.6584810016159</c:v>
                </c:pt>
                <c:pt idx="1">
                  <c:v>2826.8749977936227</c:v>
                </c:pt>
                <c:pt idx="2">
                  <c:v>263.33819906942517</c:v>
                </c:pt>
                <c:pt idx="4" formatCode="#,##0.00">
                  <c:v>1.564104203559701</c:v>
                </c:pt>
                <c:pt idx="5">
                  <c:v>56.93306101594294</c:v>
                </c:pt>
                <c:pt idx="6">
                  <c:v>250.5474758175001</c:v>
                </c:pt>
                <c:pt idx="7">
                  <c:v>100.29323823500006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1590.6584810016159</c:v>
                </c:pt>
                <c:pt idx="1">
                  <c:v>2826.8749977936227</c:v>
                </c:pt>
                <c:pt idx="2" formatCode="General">
                  <c:v>0</c:v>
                </c:pt>
                <c:pt idx="3">
                  <c:v>263.33819906942517</c:v>
                </c:pt>
                <c:pt idx="4">
                  <c:v>56.93306101594294</c:v>
                </c:pt>
                <c:pt idx="5">
                  <c:v>250.5474758175001</c:v>
                </c:pt>
                <c:pt idx="6">
                  <c:v>100.29323823500006</c:v>
                </c:pt>
                <c:pt idx="7">
                  <c:v>1.564104203559701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772416"/>
        <c:axId val="329779456"/>
      </c:barChart>
      <c:catAx>
        <c:axId val="3297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9779456"/>
        <c:crosses val="autoZero"/>
        <c:auto val="1"/>
        <c:lblAlgn val="ctr"/>
        <c:lblOffset val="100"/>
        <c:noMultiLvlLbl val="0"/>
      </c:catAx>
      <c:valAx>
        <c:axId val="3297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977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103.25436633750016</c:v>
                </c:pt>
                <c:pt idx="1">
                  <c:v>71.102434100772228</c:v>
                </c:pt>
                <c:pt idx="2">
                  <c:v>0</c:v>
                </c:pt>
                <c:pt idx="3">
                  <c:v>120.85246510425799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setiembre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63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5091" y="10318750"/>
          <a:ext cx="53945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1</xdr:col>
      <xdr:colOff>338667</xdr:colOff>
      <xdr:row>63</xdr:row>
      <xdr:rowOff>95250</xdr:rowOff>
    </xdr:from>
    <xdr:to>
      <xdr:col>7</xdr:col>
      <xdr:colOff>836083</xdr:colOff>
      <xdr:row>71</xdr:row>
      <xdr:rowOff>137584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6323" y="954245"/>
          <a:ext cx="6695265" cy="2441552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A3" zoomScale="110" zoomScaleNormal="100" zoomScaleSheetLayoutView="11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28" t="s">
        <v>64</v>
      </c>
      <c r="R11" s="41" t="s">
        <v>41</v>
      </c>
      <c r="S11" s="54">
        <f>E12</f>
        <v>35.474224831346504</v>
      </c>
    </row>
    <row r="12" spans="2:20">
      <c r="C12" s="110" t="s">
        <v>66</v>
      </c>
      <c r="D12" s="111">
        <v>1555.1842561702695</v>
      </c>
      <c r="E12" s="112">
        <v>35.474224831346504</v>
      </c>
      <c r="F12" s="113">
        <f>SUM(D12:E12)</f>
        <v>1590.6584810016159</v>
      </c>
      <c r="G12" s="305">
        <f>(F12/F$16)-0.001</f>
        <v>0.31149371232102857</v>
      </c>
      <c r="Q12" s="328"/>
      <c r="R12" s="41" t="s">
        <v>73</v>
      </c>
      <c r="S12" s="54">
        <f>E13</f>
        <v>111.72172882569294</v>
      </c>
    </row>
    <row r="13" spans="2:20">
      <c r="C13" s="110" t="s">
        <v>65</v>
      </c>
      <c r="D13" s="111">
        <v>3036.9886332568576</v>
      </c>
      <c r="E13" s="112">
        <v>111.72172882569294</v>
      </c>
      <c r="F13" s="113">
        <f>SUM(D13:E13)</f>
        <v>3148.7103620825505</v>
      </c>
      <c r="G13" s="305">
        <f>(F13/F$16)</f>
        <v>0.61858167659677965</v>
      </c>
      <c r="Q13" s="328" t="s">
        <v>88</v>
      </c>
      <c r="R13" s="41" t="s">
        <v>41</v>
      </c>
      <c r="S13" s="54">
        <f>D12</f>
        <v>1555.1842561702695</v>
      </c>
      <c r="T13">
        <f>SUM(S13:S15)/SUM(S$11:S$15)</f>
        <v>0.97108253560000002</v>
      </c>
    </row>
    <row r="14" spans="2:20">
      <c r="C14" s="110" t="s">
        <v>67</v>
      </c>
      <c r="D14" s="111">
        <v>250.5474758175001</v>
      </c>
      <c r="E14" s="114"/>
      <c r="F14" s="113">
        <f>SUM(D14:E14)</f>
        <v>250.5474758175001</v>
      </c>
      <c r="G14" s="305">
        <f>(F14/F$16)</f>
        <v>4.9221446190996797E-2</v>
      </c>
      <c r="Q14" s="328"/>
      <c r="R14" s="41" t="s">
        <v>73</v>
      </c>
      <c r="S14" s="54">
        <f>D13</f>
        <v>3036.9886332568576</v>
      </c>
      <c r="T14">
        <f t="shared" ref="T14:T15" si="0">SUM(S14:S16)/SUM(S$11:S$15)</f>
        <v>0.66555793219937132</v>
      </c>
    </row>
    <row r="15" spans="2:20" ht="13.5" thickBot="1">
      <c r="C15" s="115" t="s">
        <v>5</v>
      </c>
      <c r="D15" s="116">
        <v>100.29323823500006</v>
      </c>
      <c r="E15" s="117"/>
      <c r="F15" s="118">
        <f>SUM(D15:E15)</f>
        <v>100.29323823500006</v>
      </c>
      <c r="G15" s="306">
        <f>(F15/F$16)</f>
        <v>1.9703164891194929E-2</v>
      </c>
      <c r="Q15" s="328"/>
      <c r="R15" s="41" t="s">
        <v>87</v>
      </c>
      <c r="S15" s="54">
        <f>SUM(D14:D15)</f>
        <v>350.84071405250018</v>
      </c>
      <c r="T15">
        <f t="shared" si="0"/>
        <v>6.8924611082191722E-2</v>
      </c>
    </row>
    <row r="16" spans="2:20" ht="13.5" thickTop="1">
      <c r="C16" s="210" t="s">
        <v>71</v>
      </c>
      <c r="D16" s="211">
        <f>SUM(D12:D15)</f>
        <v>4943.0136034796278</v>
      </c>
      <c r="E16" s="212">
        <f>SUM(E12:E15)</f>
        <v>147.19595365703944</v>
      </c>
      <c r="F16" s="213">
        <f>SUM(F12:F15)</f>
        <v>5090.2095571366672</v>
      </c>
      <c r="G16" s="214"/>
    </row>
    <row r="17" spans="3:19">
      <c r="C17" s="215" t="s">
        <v>109</v>
      </c>
      <c r="D17" s="270">
        <f>D16/F16+0.001</f>
        <v>0.97208253560000002</v>
      </c>
      <c r="E17" s="271">
        <f>E16/F16-0.001</f>
        <v>2.7917464400000019E-2</v>
      </c>
      <c r="F17" s="216"/>
      <c r="G17" s="217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4" t="s">
        <v>112</v>
      </c>
      <c r="D23" s="325"/>
      <c r="E23" s="329" t="s">
        <v>129</v>
      </c>
      <c r="F23" s="330"/>
      <c r="G23" s="122" t="s">
        <v>74</v>
      </c>
      <c r="H23" s="331" t="s">
        <v>130</v>
      </c>
      <c r="I23" s="332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0">
        <v>2022</v>
      </c>
      <c r="I24" s="126">
        <v>2023</v>
      </c>
      <c r="J24" s="127"/>
      <c r="Q24" s="41" t="s">
        <v>76</v>
      </c>
      <c r="R24" s="54">
        <f>E29</f>
        <v>147.45928931828064</v>
      </c>
      <c r="S24" s="54">
        <f>F29</f>
        <v>152.34220980064157</v>
      </c>
    </row>
    <row r="25" spans="3:19">
      <c r="C25" s="320" t="s">
        <v>0</v>
      </c>
      <c r="D25" s="321"/>
      <c r="E25" s="160">
        <f>SUM(E26:E28)</f>
        <v>4814.1134687374997</v>
      </c>
      <c r="F25" s="161">
        <f>SUM(F26:F28)</f>
        <v>4937.8673473360259</v>
      </c>
      <c r="G25" s="162">
        <f>((F25/E25)-1)</f>
        <v>2.5706473144468722E-2</v>
      </c>
      <c r="H25" s="201">
        <f>SUM(H26:H28)</f>
        <v>42770.807497612484</v>
      </c>
      <c r="I25" s="161">
        <f>SUM(I26:I28)</f>
        <v>44802.275248143618</v>
      </c>
      <c r="J25" s="162">
        <f>((I25/H25)-1)</f>
        <v>4.7496595677893882E-2</v>
      </c>
      <c r="Q25" s="41" t="s">
        <v>0</v>
      </c>
      <c r="R25" s="54">
        <f>E25</f>
        <v>4814.1134687374997</v>
      </c>
      <c r="S25" s="54">
        <f>F25</f>
        <v>4937.8673473360259</v>
      </c>
    </row>
    <row r="26" spans="3:19">
      <c r="C26" s="228" t="s">
        <v>62</v>
      </c>
      <c r="D26" s="237" t="s">
        <v>102</v>
      </c>
      <c r="E26" s="113">
        <v>4686.2668357374996</v>
      </c>
      <c r="F26" s="129">
        <v>4826.3584824375084</v>
      </c>
      <c r="G26" s="130">
        <f t="shared" ref="G26:G32" si="1">((F26/E26)-1)</f>
        <v>2.9894082349658069E-2</v>
      </c>
      <c r="H26" s="202">
        <v>41394.03047561249</v>
      </c>
      <c r="I26" s="129">
        <v>43556.567161622508</v>
      </c>
      <c r="J26" s="130">
        <f t="shared" ref="J26:J32" si="2">((I26/H26)-1)</f>
        <v>5.2242718603690674E-2</v>
      </c>
    </row>
    <row r="27" spans="3:19">
      <c r="C27" s="229" t="s">
        <v>106</v>
      </c>
      <c r="D27" s="238" t="s">
        <v>77</v>
      </c>
      <c r="E27" s="231">
        <v>91.907614000000009</v>
      </c>
      <c r="F27" s="232">
        <v>73.492726256535178</v>
      </c>
      <c r="G27" s="240">
        <f t="shared" si="1"/>
        <v>-0.20036302697907959</v>
      </c>
      <c r="H27" s="233">
        <v>990.17975800000011</v>
      </c>
      <c r="I27" s="232">
        <v>881.8958945087611</v>
      </c>
      <c r="J27" s="240">
        <f t="shared" si="2"/>
        <v>-0.10935778338869961</v>
      </c>
    </row>
    <row r="28" spans="3:19">
      <c r="C28" s="230" t="s">
        <v>64</v>
      </c>
      <c r="D28" s="239" t="s">
        <v>77</v>
      </c>
      <c r="E28" s="113">
        <v>35.939018999999995</v>
      </c>
      <c r="F28" s="129">
        <v>38.016138641982032</v>
      </c>
      <c r="G28" s="130">
        <f t="shared" si="1"/>
        <v>5.7795668879610629E-2</v>
      </c>
      <c r="H28" s="202">
        <v>386.59726399999994</v>
      </c>
      <c r="I28" s="129">
        <v>363.81219201235234</v>
      </c>
      <c r="J28" s="130">
        <f t="shared" si="2"/>
        <v>-5.8937488982455877E-2</v>
      </c>
    </row>
    <row r="29" spans="3:19">
      <c r="C29" s="320" t="s">
        <v>76</v>
      </c>
      <c r="D29" s="321"/>
      <c r="E29" s="160">
        <f>SUM(E30:E31)</f>
        <v>147.45928931828064</v>
      </c>
      <c r="F29" s="161">
        <f>SUM(F30:F31)</f>
        <v>152.34220980064157</v>
      </c>
      <c r="G29" s="162">
        <f t="shared" si="1"/>
        <v>3.3113685173278506E-2</v>
      </c>
      <c r="H29" s="201">
        <f>SUM(H30:H31)</f>
        <v>1428.2466559430695</v>
      </c>
      <c r="I29" s="161">
        <f>SUM(I30:I31)</f>
        <v>1417.5365064697667</v>
      </c>
      <c r="J29" s="162">
        <f t="shared" si="2"/>
        <v>-7.4988094169426978E-3</v>
      </c>
      <c r="Q29" s="41"/>
      <c r="R29" s="41"/>
      <c r="S29" s="41"/>
    </row>
    <row r="30" spans="3:19">
      <c r="C30" s="234" t="s">
        <v>68</v>
      </c>
      <c r="D30" s="124"/>
      <c r="E30" s="113">
        <v>43.799097000000003</v>
      </c>
      <c r="F30" s="129">
        <v>43.162394785584155</v>
      </c>
      <c r="G30" s="355">
        <f t="shared" si="1"/>
        <v>-1.4536879936493885E-2</v>
      </c>
      <c r="H30" s="202">
        <v>370.900555</v>
      </c>
      <c r="I30" s="129">
        <v>368.33233453575696</v>
      </c>
      <c r="J30" s="130">
        <f t="shared" si="2"/>
        <v>-6.9242831525098136E-3</v>
      </c>
    </row>
    <row r="31" spans="3:19" ht="13.5" thickBot="1">
      <c r="C31" s="235" t="s">
        <v>64</v>
      </c>
      <c r="D31" s="236"/>
      <c r="E31" s="118">
        <v>103.66019231828065</v>
      </c>
      <c r="F31" s="132">
        <v>109.17981501505741</v>
      </c>
      <c r="G31" s="133">
        <f t="shared" si="1"/>
        <v>5.324727432329257E-2</v>
      </c>
      <c r="H31" s="203">
        <v>1057.3461009430696</v>
      </c>
      <c r="I31" s="132">
        <v>1049.2041719340098</v>
      </c>
      <c r="J31" s="133">
        <f t="shared" si="2"/>
        <v>-7.7003442882116468E-3</v>
      </c>
    </row>
    <row r="32" spans="3:19" ht="14.25" thickTop="1" thickBot="1">
      <c r="C32" s="322" t="s">
        <v>108</v>
      </c>
      <c r="D32" s="323"/>
      <c r="E32" s="163">
        <f>SUM(E25,E29)</f>
        <v>4961.5727580557805</v>
      </c>
      <c r="F32" s="164">
        <f>SUM(F25,F29)</f>
        <v>5090.2095571366672</v>
      </c>
      <c r="G32" s="165">
        <f t="shared" si="1"/>
        <v>2.592661749684666E-2</v>
      </c>
      <c r="H32" s="204">
        <f>SUM(H25,H29)</f>
        <v>44199.054153555553</v>
      </c>
      <c r="I32" s="164">
        <f>SUM(I25,I29)</f>
        <v>46219.811754613387</v>
      </c>
      <c r="J32" s="165">
        <f t="shared" si="2"/>
        <v>4.5719476123569303E-2</v>
      </c>
    </row>
    <row r="33" spans="3:19">
      <c r="C33" s="265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316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29" t="s">
        <v>129</v>
      </c>
      <c r="F38" s="330"/>
      <c r="G38" s="326" t="s">
        <v>74</v>
      </c>
      <c r="H38" s="331" t="s">
        <v>130</v>
      </c>
      <c r="I38" s="332"/>
      <c r="J38" s="326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27"/>
      <c r="H39" s="200">
        <v>2022</v>
      </c>
      <c r="I39" s="126">
        <v>2023</v>
      </c>
      <c r="J39" s="327"/>
      <c r="Q39" s="41" t="s">
        <v>66</v>
      </c>
      <c r="R39" s="54">
        <f>SUM(E41,E46)</f>
        <v>1947.7908916795627</v>
      </c>
      <c r="S39" s="54">
        <f>SUM(F41,F46)</f>
        <v>1590.6584810016159</v>
      </c>
    </row>
    <row r="40" spans="3:19">
      <c r="C40" s="320" t="s">
        <v>68</v>
      </c>
      <c r="D40" s="321"/>
      <c r="E40" s="160">
        <f>SUM(E41:E44)</f>
        <v>4821.9735467374985</v>
      </c>
      <c r="F40" s="161">
        <f>SUM(F41:F44)</f>
        <v>4943.0136034796278</v>
      </c>
      <c r="G40" s="162">
        <f>((F40/E40)-1)</f>
        <v>2.5101767060506486E-2</v>
      </c>
      <c r="H40" s="201">
        <f>SUM(H41:H44)</f>
        <v>42755.110788612488</v>
      </c>
      <c r="I40" s="161">
        <f>SUM(I41:I44)</f>
        <v>44806.795390667023</v>
      </c>
      <c r="J40" s="162">
        <f>((I40/H40)-1)</f>
        <v>4.7986885408819679E-2</v>
      </c>
      <c r="Q40" s="41" t="s">
        <v>65</v>
      </c>
      <c r="R40" s="54">
        <f>SUM(E42,E47)</f>
        <v>2736.2411323762176</v>
      </c>
      <c r="S40" s="54">
        <f>SUM(F42,F47)</f>
        <v>3148.7103620825505</v>
      </c>
    </row>
    <row r="41" spans="3:19">
      <c r="C41" s="128" t="s">
        <v>66</v>
      </c>
      <c r="D41" s="69"/>
      <c r="E41" s="113">
        <v>1907.1171797374998</v>
      </c>
      <c r="F41" s="129">
        <f>D12</f>
        <v>1555.1842561702695</v>
      </c>
      <c r="G41" s="130">
        <f t="shared" ref="G41:G48" si="3">((F41/E41)-1)</f>
        <v>-0.18453660179164832</v>
      </c>
      <c r="H41" s="202">
        <v>23225.938499612494</v>
      </c>
      <c r="I41" s="129">
        <v>21000.766930622667</v>
      </c>
      <c r="J41" s="130">
        <f t="shared" ref="J41:J48" si="4">((I41/H41)-1)</f>
        <v>-9.5805453416961006E-2</v>
      </c>
      <c r="Q41" s="41" t="s">
        <v>67</v>
      </c>
      <c r="R41" s="54">
        <f>E43</f>
        <v>202.603039</v>
      </c>
      <c r="S41" s="54">
        <f>F43</f>
        <v>250.5474758175001</v>
      </c>
    </row>
    <row r="42" spans="3:19">
      <c r="C42" s="128" t="s">
        <v>65</v>
      </c>
      <c r="D42" s="69"/>
      <c r="E42" s="113">
        <v>2637.3156329999997</v>
      </c>
      <c r="F42" s="129">
        <f>D13</f>
        <v>3036.9886332568576</v>
      </c>
      <c r="G42" s="130">
        <f t="shared" si="3"/>
        <v>0.15154538017970265</v>
      </c>
      <c r="H42" s="202">
        <v>17472.219599</v>
      </c>
      <c r="I42" s="129">
        <v>21572.63402070936</v>
      </c>
      <c r="J42" s="130">
        <f t="shared" si="4"/>
        <v>0.23468194172330814</v>
      </c>
      <c r="Q42" s="41" t="s">
        <v>5</v>
      </c>
      <c r="R42" s="54">
        <f>E44</f>
        <v>74.937694999999991</v>
      </c>
      <c r="S42" s="54">
        <f>F44</f>
        <v>100.29323823500006</v>
      </c>
    </row>
    <row r="43" spans="3:19">
      <c r="C43" s="128" t="s">
        <v>67</v>
      </c>
      <c r="D43" s="69"/>
      <c r="E43" s="113">
        <v>202.603039</v>
      </c>
      <c r="F43" s="129">
        <f>D14</f>
        <v>250.5474758175001</v>
      </c>
      <c r="G43" s="130">
        <f t="shared" si="3"/>
        <v>0.23664223919908767</v>
      </c>
      <c r="H43" s="202">
        <v>1475.5252770000002</v>
      </c>
      <c r="I43" s="129">
        <v>1607.4100074025002</v>
      </c>
      <c r="J43" s="130">
        <f t="shared" si="4"/>
        <v>8.9381545987910593E-2</v>
      </c>
    </row>
    <row r="44" spans="3:19">
      <c r="C44" s="128" t="s">
        <v>5</v>
      </c>
      <c r="D44" s="69"/>
      <c r="E44" s="113">
        <v>74.937694999999991</v>
      </c>
      <c r="F44" s="129">
        <f>D15</f>
        <v>100.29323823500006</v>
      </c>
      <c r="G44" s="314">
        <f t="shared" si="3"/>
        <v>0.33835499257082935</v>
      </c>
      <c r="H44" s="202">
        <v>581.42741299999989</v>
      </c>
      <c r="I44" s="129">
        <v>625.98443193250012</v>
      </c>
      <c r="J44" s="130">
        <f t="shared" si="4"/>
        <v>7.6633846179695375E-2</v>
      </c>
      <c r="Q44" s="41"/>
      <c r="R44" s="41"/>
      <c r="S44" s="41"/>
    </row>
    <row r="45" spans="3:19">
      <c r="C45" s="320" t="s">
        <v>64</v>
      </c>
      <c r="D45" s="321"/>
      <c r="E45" s="160">
        <f>SUM(E46:E47)</f>
        <v>139.59921131828065</v>
      </c>
      <c r="F45" s="161">
        <f>SUM(F46:F47)</f>
        <v>147.19595365703944</v>
      </c>
      <c r="G45" s="162">
        <f t="shared" si="3"/>
        <v>5.4418232503036901E-2</v>
      </c>
      <c r="H45" s="201">
        <f>SUM(H46:H47)</f>
        <v>1443.9433649430694</v>
      </c>
      <c r="I45" s="161">
        <f>SUM(I46:I47)</f>
        <v>1413.0163639463622</v>
      </c>
      <c r="J45" s="162">
        <f t="shared" si="4"/>
        <v>-2.1418430769219676E-2</v>
      </c>
    </row>
    <row r="46" spans="3:19">
      <c r="C46" s="128" t="s">
        <v>66</v>
      </c>
      <c r="D46" s="69"/>
      <c r="E46" s="113">
        <v>40.673711942062958</v>
      </c>
      <c r="F46" s="129">
        <f>E12</f>
        <v>35.474224831346504</v>
      </c>
      <c r="G46" s="130">
        <f t="shared" si="3"/>
        <v>-0.12783409387672273</v>
      </c>
      <c r="H46" s="202">
        <v>460.06666298855021</v>
      </c>
      <c r="I46" s="129">
        <v>413.10770871329487</v>
      </c>
      <c r="J46" s="130">
        <f t="shared" si="4"/>
        <v>-0.1020698912853506</v>
      </c>
    </row>
    <row r="47" spans="3:19" ht="13.5" thickBot="1">
      <c r="C47" s="131" t="s">
        <v>65</v>
      </c>
      <c r="D47" s="69"/>
      <c r="E47" s="118">
        <v>98.925499376217701</v>
      </c>
      <c r="F47" s="132">
        <f>E13</f>
        <v>111.72172882569294</v>
      </c>
      <c r="G47" s="133">
        <f t="shared" si="3"/>
        <v>0.12935218452434238</v>
      </c>
      <c r="H47" s="203">
        <v>983.87670195451926</v>
      </c>
      <c r="I47" s="132">
        <v>999.90865523306718</v>
      </c>
      <c r="J47" s="133">
        <f t="shared" si="4"/>
        <v>1.6294677215854092E-2</v>
      </c>
    </row>
    <row r="48" spans="3:19" ht="14.25" thickTop="1" thickBot="1">
      <c r="C48" s="322" t="s">
        <v>108</v>
      </c>
      <c r="D48" s="323"/>
      <c r="E48" s="163">
        <f>SUM(E40,E45)</f>
        <v>4961.5727580557796</v>
      </c>
      <c r="F48" s="164">
        <f>SUM(F40,F45)</f>
        <v>5090.2095571366672</v>
      </c>
      <c r="G48" s="165">
        <f t="shared" si="3"/>
        <v>2.5926617496846882E-2</v>
      </c>
      <c r="H48" s="204">
        <f>SUM(H40,H45)</f>
        <v>44199.05415355556</v>
      </c>
      <c r="I48" s="164">
        <f>SUM(I40,I45)</f>
        <v>46219.811754613387</v>
      </c>
      <c r="J48" s="165">
        <f t="shared" si="4"/>
        <v>4.5719476123569303E-2</v>
      </c>
    </row>
    <row r="49" spans="3:23">
      <c r="C49" s="226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29" t="s">
        <v>129</v>
      </c>
      <c r="F54" s="330"/>
      <c r="G54" s="326" t="s">
        <v>74</v>
      </c>
      <c r="H54" s="331" t="s">
        <v>130</v>
      </c>
      <c r="I54" s="332"/>
      <c r="J54" s="326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27"/>
      <c r="H55" s="200">
        <v>2022</v>
      </c>
      <c r="I55" s="126">
        <v>2023</v>
      </c>
      <c r="J55" s="327"/>
      <c r="L55" s="36"/>
      <c r="M55" s="36"/>
    </row>
    <row r="56" spans="3:23">
      <c r="C56" s="320" t="s">
        <v>68</v>
      </c>
      <c r="D56" s="321"/>
      <c r="E56" s="160">
        <f>SUM(E57:E60)</f>
        <v>4821.9735467374994</v>
      </c>
      <c r="F56" s="161">
        <f>SUM(F57:F60)</f>
        <v>4943.0136034796269</v>
      </c>
      <c r="G56" s="162">
        <f>((F56/E56)-1)</f>
        <v>2.5101767060506264E-2</v>
      </c>
      <c r="H56" s="201">
        <f>SUM(H57:H60)</f>
        <v>42755.110788612496</v>
      </c>
      <c r="I56" s="161">
        <f>SUM(I57:I60)</f>
        <v>44806.79539066703</v>
      </c>
      <c r="J56" s="162">
        <f>((I56/H56)-1)</f>
        <v>4.7986885408819679E-2</v>
      </c>
    </row>
    <row r="57" spans="3:23" ht="25.5">
      <c r="C57" s="334" t="s">
        <v>78</v>
      </c>
      <c r="D57" s="241" t="s">
        <v>79</v>
      </c>
      <c r="E57" s="275">
        <f>SUM(E43:E44)+36.199031</f>
        <v>313.73976499999998</v>
      </c>
      <c r="F57" s="276">
        <f>SUM(F43:F44)+32.1308372166391</f>
        <v>382.9715512691393</v>
      </c>
      <c r="G57" s="140">
        <f t="shared" ref="G57:G65" si="5">((F57/E57)-1)</f>
        <v>0.22066627821034834</v>
      </c>
      <c r="H57" s="218">
        <f>SUM(H43:H44)+252.182106</f>
        <v>2309.1347960000003</v>
      </c>
      <c r="I57" s="276">
        <f>SUM(I43:I44)+233.876848171639</f>
        <v>2467.2712875066391</v>
      </c>
      <c r="J57" s="140">
        <f t="shared" ref="J57:J65" si="6">((I57/H57)-1)</f>
        <v>6.8483005747681291E-2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5"/>
      <c r="D58" s="242" t="s">
        <v>110</v>
      </c>
      <c r="E58" s="231">
        <v>111.67195015499978</v>
      </c>
      <c r="F58" s="279">
        <v>93.371154474999997</v>
      </c>
      <c r="G58" s="240">
        <f t="shared" si="5"/>
        <v>-0.16387996855610043</v>
      </c>
      <c r="H58" s="233">
        <v>1607.6926863475005</v>
      </c>
      <c r="I58" s="232">
        <v>1569.9335810599991</v>
      </c>
      <c r="J58" s="240">
        <f t="shared" si="6"/>
        <v>-2.3486519288263952E-2</v>
      </c>
      <c r="L58" s="36"/>
      <c r="M58" s="36"/>
      <c r="Q58" s="328" t="s">
        <v>80</v>
      </c>
      <c r="R58" s="41" t="s">
        <v>66</v>
      </c>
      <c r="T58" s="54">
        <f>SUM(E60,E64)</f>
        <v>1836.1189415245628</v>
      </c>
      <c r="U58" s="54">
        <f>SUM(F60,F64)</f>
        <v>1497.287326526616</v>
      </c>
      <c r="V58" s="119">
        <f t="shared" ref="V58:W61" si="7">T58/T$64</f>
        <v>0.37006792625249257</v>
      </c>
      <c r="W58" s="119">
        <f t="shared" si="7"/>
        <v>0.29415042931333979</v>
      </c>
    </row>
    <row r="59" spans="3:23">
      <c r="C59" s="333" t="s">
        <v>80</v>
      </c>
      <c r="D59" s="243" t="s">
        <v>81</v>
      </c>
      <c r="E59" s="113">
        <f>SUM(E42:E44)-E57</f>
        <v>2601.1166020000001</v>
      </c>
      <c r="F59" s="129">
        <f>SUM(F42:F44)-F57</f>
        <v>3004.8577960402185</v>
      </c>
      <c r="G59" s="130">
        <f t="shared" si="5"/>
        <v>0.15521841417250637</v>
      </c>
      <c r="H59" s="202">
        <f>SUM(H42:H44)-H57</f>
        <v>17220.037493000003</v>
      </c>
      <c r="I59" s="129">
        <f>SUM(I42:I44)-I57</f>
        <v>21338.75717253772</v>
      </c>
      <c r="J59" s="130">
        <f t="shared" si="6"/>
        <v>0.23918180673021117</v>
      </c>
      <c r="Q59" s="328"/>
      <c r="R59" s="41" t="s">
        <v>65</v>
      </c>
      <c r="T59" s="54">
        <f>SUM(E59,E63)</f>
        <v>2682.7743953762179</v>
      </c>
      <c r="U59" s="54">
        <f>SUM(F59,F63)</f>
        <v>3091.7773010666078</v>
      </c>
      <c r="V59" s="119">
        <f t="shared" si="7"/>
        <v>0.54071048157469281</v>
      </c>
      <c r="W59" s="119">
        <f t="shared" si="7"/>
        <v>0.60739685986637204</v>
      </c>
    </row>
    <row r="60" spans="3:23">
      <c r="C60" s="333"/>
      <c r="D60" s="244" t="s">
        <v>41</v>
      </c>
      <c r="E60" s="113">
        <f>E41-E58</f>
        <v>1795.4452295824999</v>
      </c>
      <c r="F60" s="129">
        <f>F41-F58</f>
        <v>1461.8131016952696</v>
      </c>
      <c r="G60" s="130">
        <f t="shared" si="5"/>
        <v>-0.18582138980915097</v>
      </c>
      <c r="H60" s="202">
        <f>H41-H58</f>
        <v>21618.245813264992</v>
      </c>
      <c r="I60" s="129">
        <f>I41-I58</f>
        <v>19430.833349562668</v>
      </c>
      <c r="J60" s="130">
        <f t="shared" si="6"/>
        <v>-0.10118362436049844</v>
      </c>
      <c r="Q60" s="328" t="s">
        <v>78</v>
      </c>
      <c r="R60" s="41" t="s">
        <v>66</v>
      </c>
      <c r="T60" s="54">
        <f>E58</f>
        <v>111.67195015499978</v>
      </c>
      <c r="U60" s="54">
        <f>F58</f>
        <v>93.371154474999997</v>
      </c>
      <c r="V60" s="119">
        <f t="shared" si="7"/>
        <v>2.2507369255783935E-2</v>
      </c>
      <c r="W60" s="119">
        <f t="shared" si="7"/>
        <v>1.8343283007688768E-2</v>
      </c>
    </row>
    <row r="61" spans="3:23">
      <c r="C61" s="320" t="s">
        <v>64</v>
      </c>
      <c r="D61" s="321"/>
      <c r="E61" s="160">
        <f>SUM(E62:E64)</f>
        <v>139.59921131828068</v>
      </c>
      <c r="F61" s="161">
        <f>SUM(F62:F64)</f>
        <v>147.19595365703944</v>
      </c>
      <c r="G61" s="162">
        <f t="shared" si="5"/>
        <v>5.4418232503036679E-2</v>
      </c>
      <c r="H61" s="201">
        <f>SUM(H62:H64)</f>
        <v>1443.9433649430694</v>
      </c>
      <c r="I61" s="161">
        <f>SUM(I62:I64)</f>
        <v>1413.0163639463622</v>
      </c>
      <c r="J61" s="162">
        <f t="shared" si="6"/>
        <v>-2.1418430769219676E-2</v>
      </c>
      <c r="Q61" s="328"/>
      <c r="R61" s="41" t="s">
        <v>89</v>
      </c>
      <c r="T61" s="54">
        <f>E57+E62</f>
        <v>331.00747099999995</v>
      </c>
      <c r="U61" s="54">
        <f>F57+F62</f>
        <v>407.77377506844311</v>
      </c>
      <c r="V61" s="119">
        <f t="shared" si="7"/>
        <v>6.6714222917030663E-2</v>
      </c>
      <c r="W61" s="119">
        <f t="shared" si="7"/>
        <v>8.0109427812599346E-2</v>
      </c>
    </row>
    <row r="62" spans="3:23">
      <c r="C62" s="266" t="s">
        <v>78</v>
      </c>
      <c r="D62" s="267" t="s">
        <v>114</v>
      </c>
      <c r="E62" s="317">
        <v>17.267705999999997</v>
      </c>
      <c r="F62" s="277">
        <v>24.802223799303832</v>
      </c>
      <c r="G62" s="268">
        <f t="shared" si="5"/>
        <v>0.43633577032779192</v>
      </c>
      <c r="H62" s="278">
        <v>158.10389900000004</v>
      </c>
      <c r="I62" s="277">
        <v>188.92676073640445</v>
      </c>
      <c r="J62" s="268">
        <f t="shared" si="6"/>
        <v>0.19495320438874431</v>
      </c>
      <c r="Q62" s="41"/>
      <c r="R62" s="41"/>
      <c r="T62" s="41"/>
      <c r="U62" s="41"/>
      <c r="V62" s="41"/>
      <c r="W62" s="41"/>
    </row>
    <row r="63" spans="3:23">
      <c r="C63" s="336" t="s">
        <v>80</v>
      </c>
      <c r="D63" s="243" t="s">
        <v>81</v>
      </c>
      <c r="E63" s="113">
        <f>E47-E62</f>
        <v>81.657793376217711</v>
      </c>
      <c r="F63" s="129">
        <f>F47-F62</f>
        <v>86.919505026389103</v>
      </c>
      <c r="G63" s="130">
        <f>((F63/E63)-1)</f>
        <v>6.4436123395220646E-2</v>
      </c>
      <c r="H63" s="202">
        <f>H47-H62</f>
        <v>825.77280295451919</v>
      </c>
      <c r="I63" s="129">
        <f>I47-I62</f>
        <v>810.98189449666279</v>
      </c>
      <c r="J63" s="130">
        <f>((I63/H63)-1)</f>
        <v>-1.7911595544120917E-2</v>
      </c>
      <c r="Q63" s="41"/>
      <c r="R63" s="41"/>
      <c r="T63" s="41"/>
      <c r="U63" s="41"/>
      <c r="V63" s="41"/>
      <c r="W63" s="41"/>
    </row>
    <row r="64" spans="3:23" ht="13.5" thickBot="1">
      <c r="C64" s="337"/>
      <c r="D64" s="245" t="s">
        <v>41</v>
      </c>
      <c r="E64" s="118">
        <f>E46</f>
        <v>40.673711942062958</v>
      </c>
      <c r="F64" s="132">
        <f>F46</f>
        <v>35.474224831346504</v>
      </c>
      <c r="G64" s="133">
        <f t="shared" si="5"/>
        <v>-0.12783409387672273</v>
      </c>
      <c r="H64" s="203">
        <f>H46</f>
        <v>460.06666298855021</v>
      </c>
      <c r="I64" s="132">
        <f>I46</f>
        <v>413.10770871329487</v>
      </c>
      <c r="J64" s="133">
        <f t="shared" si="6"/>
        <v>-0.1020698912853506</v>
      </c>
      <c r="Q64" s="41"/>
      <c r="R64" s="41"/>
      <c r="T64" s="54">
        <f>SUM(T58:T61)</f>
        <v>4961.5727580557805</v>
      </c>
      <c r="U64" s="54">
        <f>SUM(U58:U61)</f>
        <v>5090.2095571366672</v>
      </c>
      <c r="V64" s="41"/>
      <c r="W64" s="41"/>
    </row>
    <row r="65" spans="3:22" ht="14.25" thickTop="1" thickBot="1">
      <c r="C65" s="322" t="s">
        <v>108</v>
      </c>
      <c r="D65" s="323"/>
      <c r="E65" s="163">
        <f>SUM(E56,E61)</f>
        <v>4961.5727580557805</v>
      </c>
      <c r="F65" s="164">
        <f>SUM(F56,F61)</f>
        <v>5090.2095571366663</v>
      </c>
      <c r="G65" s="165">
        <f t="shared" si="5"/>
        <v>2.5926617496846438E-2</v>
      </c>
      <c r="H65" s="204">
        <f>SUM(H56,H61)</f>
        <v>44199.054153555568</v>
      </c>
      <c r="I65" s="164">
        <f>SUM(I56,I61)</f>
        <v>46219.811754613394</v>
      </c>
      <c r="J65" s="165">
        <f t="shared" si="6"/>
        <v>4.5719476123569303E-2</v>
      </c>
      <c r="Q65" s="41"/>
      <c r="R65" s="41"/>
      <c r="S65" s="41"/>
      <c r="T65" s="41"/>
      <c r="U65" s="41"/>
      <c r="V65" s="41"/>
    </row>
    <row r="66" spans="3:22">
      <c r="C66" s="226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zoomScale="90" zoomScaleNormal="100" zoomScaleSheetLayoutView="90" workbookViewId="0">
      <selection activeCell="C1" sqref="C1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1590.6584810016159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2826.8749977936227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263.33819906942517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56.93306101594294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250.5474758175001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100.29323823500006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1.564104203559701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5090.2095571366672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2"/>
      <c r="G24" s="225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6" t="s">
        <v>61</v>
      </c>
      <c r="D27" s="340" t="s">
        <v>129</v>
      </c>
      <c r="E27" s="340"/>
      <c r="F27" s="341" t="s">
        <v>74</v>
      </c>
      <c r="G27" s="343" t="s">
        <v>130</v>
      </c>
      <c r="H27" s="344"/>
      <c r="I27" s="341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7"/>
      <c r="D28" s="75">
        <v>2022</v>
      </c>
      <c r="E28" s="76">
        <v>2023</v>
      </c>
      <c r="F28" s="342"/>
      <c r="G28" s="205">
        <v>2022</v>
      </c>
      <c r="H28" s="76">
        <v>2023</v>
      </c>
      <c r="I28" s="342"/>
      <c r="M28" s="42" t="s">
        <v>85</v>
      </c>
      <c r="N28" s="53">
        <f t="shared" ref="N28:O29" si="1">D29</f>
        <v>1947.7908916795627</v>
      </c>
      <c r="O28" s="53">
        <f t="shared" si="1"/>
        <v>1590.6584810016159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1947.7908916795627</v>
      </c>
      <c r="E29" s="139">
        <f>'Resumen (G)'!F41+'Resumen (G)'!F46</f>
        <v>1590.6584810016159</v>
      </c>
      <c r="F29" s="140">
        <f>+E29/D29-1-0.00003</f>
        <v>-0.18338254169403925</v>
      </c>
      <c r="G29" s="218">
        <f>'Resumen (G)'!H41+'Resumen (G)'!H46</f>
        <v>23686.005162601043</v>
      </c>
      <c r="H29" s="139">
        <f>'Resumen (G)'!I41+'Resumen (G)'!I46</f>
        <v>21413.874639335962</v>
      </c>
      <c r="I29" s="140">
        <f>+H29/G29-1</f>
        <v>-9.5927131133647481E-2</v>
      </c>
      <c r="J29" s="36"/>
      <c r="M29" s="42" t="s">
        <v>2</v>
      </c>
      <c r="N29" s="53">
        <f t="shared" si="1"/>
        <v>2604.660922</v>
      </c>
      <c r="O29" s="53">
        <f t="shared" si="1"/>
        <v>2826.8749977936227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2604.660922</v>
      </c>
      <c r="E30" s="143">
        <v>2826.8749977936227</v>
      </c>
      <c r="F30" s="144">
        <f t="shared" ref="F30:F37" si="2">+E30/D30-1</f>
        <v>8.5314013012870227E-2</v>
      </c>
      <c r="G30" s="219">
        <v>17337.857083000003</v>
      </c>
      <c r="H30" s="143">
        <v>20711.985005766492</v>
      </c>
      <c r="I30" s="144">
        <f t="shared" ref="I30:I37" si="3">+H30/G30-1</f>
        <v>0.19461043580033111</v>
      </c>
      <c r="J30" s="223"/>
      <c r="K30" s="224"/>
      <c r="M30" s="42" t="s">
        <v>84</v>
      </c>
      <c r="N30" s="53">
        <f>D32</f>
        <v>76.606873376218573</v>
      </c>
      <c r="O30" s="53">
        <f>E32</f>
        <v>263.33819906942517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7" t="s">
        <v>119</v>
      </c>
      <c r="E31" s="311" t="s">
        <v>119</v>
      </c>
      <c r="F31" s="144"/>
      <c r="G31" s="310" t="s">
        <v>119</v>
      </c>
      <c r="H31" s="311" t="s">
        <v>119</v>
      </c>
      <c r="I31" s="312" t="s">
        <v>119</v>
      </c>
      <c r="J31" s="223"/>
      <c r="K31" s="224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76.606873376218573</v>
      </c>
      <c r="E32" s="143">
        <f>'Resumen (G)'!F32-SUM('TipoRecurso (G)'!E29:E30,'TipoRecurso (G)'!E33:E36)</f>
        <v>263.33819906942517</v>
      </c>
      <c r="F32" s="144">
        <f t="shared" si="2"/>
        <v>2.4375270450754942</v>
      </c>
      <c r="G32" s="219">
        <f>'Resumen (G)'!H32-SUM('TipoRecurso (G)'!G29:G30,'TipoRecurso (G)'!G33:G36)</f>
        <v>690.68855095450272</v>
      </c>
      <c r="H32" s="143">
        <f>'Resumen (G)'!I32-SUM('TipoRecurso (G)'!H29:H30,'TipoRecurso (G)'!H33:H36)</f>
        <v>1428.457152064344</v>
      </c>
      <c r="I32" s="144">
        <f t="shared" si="3"/>
        <v>1.0681639359596677</v>
      </c>
      <c r="J32" s="36"/>
      <c r="M32" s="42" t="s">
        <v>4</v>
      </c>
      <c r="N32" s="77">
        <f>D36</f>
        <v>1.5065999999999999</v>
      </c>
      <c r="O32" s="77">
        <f>E36</f>
        <v>1.564104203559701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53.466736999999966</v>
      </c>
      <c r="E33" s="143">
        <f>'Resumen (G)'!F57+'Resumen (G)'!F62-SUM('TipoRecurso (G)'!E34:E35)</f>
        <v>56.93306101594294</v>
      </c>
      <c r="F33" s="144">
        <f t="shared" si="2"/>
        <v>6.4831411274321349E-2</v>
      </c>
      <c r="G33" s="219">
        <f>'Resumen (G)'!H57+'Resumen (G)'!H62-SUM('TipoRecurso (G)'!G34:G35)</f>
        <v>410.28600500000039</v>
      </c>
      <c r="H33" s="143">
        <f>'Resumen (G)'!I57+'Resumen (G)'!I62-SUM('TipoRecurso (G)'!H34:H35)</f>
        <v>422.80360890804332</v>
      </c>
      <c r="I33" s="319">
        <f t="shared" si="3"/>
        <v>3.050945865931487E-2</v>
      </c>
      <c r="M33" s="42" t="s">
        <v>90</v>
      </c>
      <c r="N33" s="53">
        <f t="shared" ref="N33:O35" si="4">D33</f>
        <v>53.466736999999966</v>
      </c>
      <c r="O33" s="53">
        <f t="shared" si="4"/>
        <v>56.93306101594294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202.603039</v>
      </c>
      <c r="E34" s="143">
        <f>'Resumen (G)'!F43</f>
        <v>250.5474758175001</v>
      </c>
      <c r="F34" s="144">
        <f t="shared" si="2"/>
        <v>0.23664223919908767</v>
      </c>
      <c r="G34" s="219">
        <f>'Resumen (G)'!H43</f>
        <v>1475.5252770000002</v>
      </c>
      <c r="H34" s="143">
        <f>'Resumen (G)'!I43</f>
        <v>1607.4100074025002</v>
      </c>
      <c r="I34" s="144">
        <f t="shared" si="3"/>
        <v>8.9381545987910593E-2</v>
      </c>
      <c r="M34" s="42" t="s">
        <v>14</v>
      </c>
      <c r="N34" s="53">
        <f t="shared" si="4"/>
        <v>202.603039</v>
      </c>
      <c r="O34" s="53">
        <f t="shared" si="4"/>
        <v>250.5474758175001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74.937694999999991</v>
      </c>
      <c r="E35" s="143">
        <f>'Resumen (G)'!F44</f>
        <v>100.29323823500006</v>
      </c>
      <c r="F35" s="144">
        <f t="shared" si="2"/>
        <v>0.33835499257082935</v>
      </c>
      <c r="G35" s="219">
        <f>'Resumen (G)'!H44</f>
        <v>581.42741299999989</v>
      </c>
      <c r="H35" s="143">
        <f>'Resumen (G)'!I44</f>
        <v>625.98443193250012</v>
      </c>
      <c r="I35" s="319">
        <f t="shared" si="3"/>
        <v>7.6633846179695375E-2</v>
      </c>
      <c r="M35" s="42" t="s">
        <v>5</v>
      </c>
      <c r="N35" s="53">
        <f t="shared" si="4"/>
        <v>74.937694999999991</v>
      </c>
      <c r="O35" s="53">
        <f t="shared" si="4"/>
        <v>100.29323823500006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56">
        <v>1.5065999999999999</v>
      </c>
      <c r="E36" s="357">
        <v>1.564104203559701</v>
      </c>
      <c r="F36" s="146">
        <f t="shared" si="2"/>
        <v>3.8168195645626568E-2</v>
      </c>
      <c r="G36" s="308">
        <v>17.264661999999998</v>
      </c>
      <c r="H36" s="309">
        <v>9.2969092035597019</v>
      </c>
      <c r="I36" s="146">
        <f t="shared" si="3"/>
        <v>-0.46150644573524213</v>
      </c>
      <c r="N36" s="53">
        <f>SUM(N28:N35)</f>
        <v>4961.5727580557805</v>
      </c>
      <c r="O36" s="53">
        <f>SUM(O28:O35)</f>
        <v>5090.2095571366672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8" t="s">
        <v>108</v>
      </c>
      <c r="D37" s="259">
        <f>SUM(D29:D36)</f>
        <v>4961.5727580557805</v>
      </c>
      <c r="E37" s="260">
        <f>SUM(E29:E36)</f>
        <v>5090.2095571366672</v>
      </c>
      <c r="F37" s="261">
        <f t="shared" si="2"/>
        <v>2.592661749684666E-2</v>
      </c>
      <c r="G37" s="262">
        <f>SUM(G29:G36)</f>
        <v>44199.054153555553</v>
      </c>
      <c r="H37" s="260">
        <f>SUM(H29:H36)</f>
        <v>46219.811754613387</v>
      </c>
      <c r="I37" s="263">
        <f t="shared" si="3"/>
        <v>4.5719476123569303E-2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6"/>
      <c r="N41" s="196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6">
        <f t="shared" ref="M42:N44" si="5">N28/N$36</f>
        <v>0.39257529550827652</v>
      </c>
      <c r="N42" s="196">
        <f t="shared" si="5"/>
        <v>0.31249371232102857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6">
        <f t="shared" si="5"/>
        <v>0.52496678956707488</v>
      </c>
      <c r="N43" s="196">
        <f t="shared" si="5"/>
        <v>0.5553553279216642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6">
        <f t="shared" si="5"/>
        <v>1.5440038292663756E-2</v>
      </c>
      <c r="N44" s="196">
        <f t="shared" si="5"/>
        <v>5.1734254967993415E-2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6">
        <f t="shared" ref="M45:N49" si="6">N32/N$36</f>
        <v>3.0365371495436245E-4</v>
      </c>
      <c r="N45" s="196">
        <f t="shared" si="6"/>
        <v>3.0727697671440021E-4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6">
        <f t="shared" si="6"/>
        <v>1.0776167075891315E-2</v>
      </c>
      <c r="N46" s="196">
        <f t="shared" si="6"/>
        <v>1.1184816730407617E-2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6">
        <f t="shared" si="6"/>
        <v>4.083443877166705E-2</v>
      </c>
      <c r="N47" s="196">
        <f t="shared" si="6"/>
        <v>4.9221446190996797E-2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6">
        <f t="shared" si="6"/>
        <v>1.5103617069472289E-2</v>
      </c>
      <c r="N48" s="196">
        <f t="shared" si="6"/>
        <v>1.9703164891194929E-2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6">
        <f t="shared" si="6"/>
        <v>1</v>
      </c>
      <c r="N49" s="196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7">
        <f>SUM(M41:M48)</f>
        <v>1.0000000000000002</v>
      </c>
      <c r="N51" s="197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38" t="s">
        <v>91</v>
      </c>
      <c r="D55" s="340" t="s">
        <v>129</v>
      </c>
      <c r="E55" s="340"/>
      <c r="F55" s="341" t="s">
        <v>74</v>
      </c>
      <c r="G55" s="343" t="s">
        <v>130</v>
      </c>
      <c r="H55" s="344"/>
      <c r="I55" s="341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39"/>
      <c r="D56" s="75">
        <v>2022</v>
      </c>
      <c r="E56" s="76">
        <v>2023</v>
      </c>
      <c r="F56" s="342"/>
      <c r="G56" s="205">
        <v>2022</v>
      </c>
      <c r="H56" s="76">
        <v>2023</v>
      </c>
      <c r="I56" s="342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49" t="s">
        <v>42</v>
      </c>
      <c r="D57" s="250">
        <f>SUM(D29:D32,D36)</f>
        <v>4630.5652870557815</v>
      </c>
      <c r="E57" s="251">
        <f>SUM(E29:E32,E36)</f>
        <v>4682.4357820682235</v>
      </c>
      <c r="F57" s="252">
        <f>+E57/D57-1</f>
        <v>1.1201763023931388E-2</v>
      </c>
      <c r="G57" s="253">
        <f>SUM(G29:G32,G36)</f>
        <v>41731.815458555553</v>
      </c>
      <c r="H57" s="251">
        <f>SUM(H29:H32,H36)</f>
        <v>43563.61370637035</v>
      </c>
      <c r="I57" s="252">
        <f>+H57/G57-1</f>
        <v>4.389452573981556E-2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4" t="s">
        <v>104</v>
      </c>
      <c r="D58" s="300">
        <f>SUM(D33:D35)</f>
        <v>331.0074709999999</v>
      </c>
      <c r="E58" s="255">
        <f>SUM(E33:E35)</f>
        <v>407.77377506844306</v>
      </c>
      <c r="F58" s="301">
        <f>+E58/D58-1</f>
        <v>0.23191713418590232</v>
      </c>
      <c r="G58" s="303">
        <f>SUM(G33:G35)</f>
        <v>2467.2386950000005</v>
      </c>
      <c r="H58" s="255">
        <f>SUM(H33:H35)</f>
        <v>2656.1980482430436</v>
      </c>
      <c r="I58" s="304">
        <f>+H58/G58-1</f>
        <v>7.6587382333934695E-2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4961.5727580557814</v>
      </c>
      <c r="E59" s="79">
        <f>SUM(E57:E58)</f>
        <v>5090.2095571366663</v>
      </c>
      <c r="F59" s="80">
        <f>+E59/D59-1</f>
        <v>2.5926617496846216E-2</v>
      </c>
      <c r="G59" s="220">
        <f>SUM(G57:G58)</f>
        <v>44199.054153555553</v>
      </c>
      <c r="H59" s="79">
        <f>SUM(H57:H58)</f>
        <v>46219.811754613394</v>
      </c>
      <c r="I59" s="80">
        <f>+H59/G59-1</f>
        <v>4.5719476123569525E-2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6.6714222917030636E-2</v>
      </c>
      <c r="E60" s="82">
        <f>+E58/E59</f>
        <v>8.0109427812599346E-2</v>
      </c>
      <c r="F60" s="83"/>
      <c r="G60" s="221">
        <f>+G58/G59</f>
        <v>5.5821074505992017E-2</v>
      </c>
      <c r="H60" s="82">
        <f>+H58/H59</f>
        <v>5.7468820131616333E-2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7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4630.5652870557815</v>
      </c>
      <c r="N65" s="59">
        <f>E57</f>
        <v>4682.4357820682235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331.0074709999999</v>
      </c>
      <c r="N66" s="59">
        <f>E58</f>
        <v>407.77377506844306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7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3"/>
      <c r="D78" s="340" t="s">
        <v>129</v>
      </c>
      <c r="E78" s="340"/>
      <c r="F78" s="84" t="s">
        <v>74</v>
      </c>
      <c r="G78" s="343" t="s">
        <v>130</v>
      </c>
      <c r="H78" s="344"/>
      <c r="I78" s="84" t="s">
        <v>74</v>
      </c>
      <c r="M78" s="42" t="s">
        <v>96</v>
      </c>
      <c r="N78" s="53">
        <f>D80</f>
        <v>4.2894431449999999</v>
      </c>
      <c r="O78" s="53">
        <f>E80</f>
        <v>107.91881284750002</v>
      </c>
    </row>
    <row r="79" spans="2:24" ht="12.75" customHeight="1">
      <c r="C79" s="298" t="s">
        <v>95</v>
      </c>
      <c r="D79" s="299">
        <v>2022</v>
      </c>
      <c r="E79" s="76">
        <v>2023</v>
      </c>
      <c r="F79" s="85"/>
      <c r="G79" s="292">
        <v>2022</v>
      </c>
      <c r="H79" s="76">
        <v>2023</v>
      </c>
      <c r="I79" s="85"/>
      <c r="M79" s="42" t="s">
        <v>97</v>
      </c>
      <c r="N79" s="53">
        <f>D81</f>
        <v>4817.6841035924981</v>
      </c>
      <c r="O79" s="53">
        <f>E81</f>
        <v>4835.094790632128</v>
      </c>
    </row>
    <row r="80" spans="2:24" ht="12.75" customHeight="1">
      <c r="C80" s="110" t="s">
        <v>96</v>
      </c>
      <c r="D80" s="113">
        <v>4.2894431449999999</v>
      </c>
      <c r="E80" s="297">
        <v>107.91881284750002</v>
      </c>
      <c r="F80" s="130">
        <f>((E80/D80)-1)</f>
        <v>24.159166166661016</v>
      </c>
      <c r="G80" s="202">
        <v>271.95121535250001</v>
      </c>
      <c r="H80" s="297">
        <v>541.82470269999999</v>
      </c>
      <c r="I80" s="130">
        <f>((H80/G80)-1)</f>
        <v>0.99235992381094196</v>
      </c>
      <c r="K80" s="54"/>
    </row>
    <row r="81" spans="3:15" ht="16.5" customHeight="1" thickBot="1">
      <c r="C81" s="115" t="s">
        <v>97</v>
      </c>
      <c r="D81" s="118">
        <f>'Resumen (G)'!E40-D80</f>
        <v>4817.6841035924981</v>
      </c>
      <c r="E81" s="280">
        <f>'Resumen (G)'!F40-E80</f>
        <v>4835.094790632128</v>
      </c>
      <c r="F81" s="133">
        <f>((E81/D81)-1)</f>
        <v>3.6139121339746616E-3</v>
      </c>
      <c r="G81" s="203">
        <f>'Resumen (G)'!H40-G80</f>
        <v>42483.159573259989</v>
      </c>
      <c r="H81" s="280">
        <f>'Resumen (G)'!I40-H80</f>
        <v>44264.970687967019</v>
      </c>
      <c r="I81" s="133">
        <f>((H81/G81)-1)</f>
        <v>4.1941586562891819E-2</v>
      </c>
      <c r="M81" s="53"/>
      <c r="N81" s="53"/>
      <c r="O81" s="53"/>
    </row>
    <row r="82" spans="3:15" ht="14.25" thickTop="1" thickBot="1">
      <c r="C82" s="104" t="s">
        <v>94</v>
      </c>
      <c r="D82" s="198">
        <f>SUM(D80:D81)</f>
        <v>4821.9735467374985</v>
      </c>
      <c r="E82" s="281">
        <f>SUM(E80:E81)</f>
        <v>4943.0136034796278</v>
      </c>
      <c r="F82" s="105"/>
      <c r="G82" s="222">
        <f>SUM(G80:G81)</f>
        <v>42755.110788612488</v>
      </c>
      <c r="H82" s="281">
        <f>SUM(H80:H81)</f>
        <v>44806.795390667023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Normal="100" zoomScaleSheetLayoutView="100" workbookViewId="0">
      <selection activeCell="C1" sqref="C1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7" t="s">
        <v>44</v>
      </c>
      <c r="D8" s="352" t="s">
        <v>129</v>
      </c>
      <c r="E8" s="353"/>
      <c r="F8" s="341" t="s">
        <v>74</v>
      </c>
      <c r="G8" s="343" t="s">
        <v>130</v>
      </c>
      <c r="H8" s="344"/>
      <c r="I8" s="341" t="s">
        <v>74</v>
      </c>
      <c r="J8" s="16"/>
    </row>
    <row r="9" spans="3:13" ht="13.5" customHeight="1">
      <c r="C9" s="178"/>
      <c r="D9" s="88">
        <v>2022</v>
      </c>
      <c r="E9" s="76">
        <v>2023</v>
      </c>
      <c r="F9" s="342"/>
      <c r="G9" s="292">
        <v>2022</v>
      </c>
      <c r="H9" s="76">
        <v>2023</v>
      </c>
      <c r="I9" s="342"/>
      <c r="J9" s="16"/>
    </row>
    <row r="10" spans="3:13">
      <c r="C10" s="166" t="s">
        <v>10</v>
      </c>
      <c r="D10" s="167">
        <f>'Por Región (G)'!O8</f>
        <v>283.94853940955113</v>
      </c>
      <c r="E10" s="168">
        <f>'Por Región (G)'!P8</f>
        <v>295.20926554253037</v>
      </c>
      <c r="F10" s="169">
        <f>+E10/D10-1</f>
        <v>3.9657630063514526E-2</v>
      </c>
      <c r="G10" s="288">
        <f>'Por Región (G)'!Q8</f>
        <v>2922.1177882545198</v>
      </c>
      <c r="H10" s="168">
        <f>'Por Región (G)'!R8</f>
        <v>2812.9178134085719</v>
      </c>
      <c r="I10" s="361">
        <f>+H10/G10-1</f>
        <v>-3.7370148214037835E-2</v>
      </c>
      <c r="J10" s="16"/>
      <c r="L10" s="41" t="s">
        <v>9</v>
      </c>
      <c r="M10" s="199">
        <f>E11</f>
        <v>4059.0528468930602</v>
      </c>
    </row>
    <row r="11" spans="3:13">
      <c r="C11" s="170" t="s">
        <v>9</v>
      </c>
      <c r="D11" s="171">
        <f>'Por Región (G)'!O9</f>
        <v>4068.7296868064591</v>
      </c>
      <c r="E11" s="172">
        <f>'Por Región (G)'!P9</f>
        <v>4059.0528468930602</v>
      </c>
      <c r="F11" s="358">
        <f>+E11/D11-1</f>
        <v>-2.3783442642497654E-3</v>
      </c>
      <c r="G11" s="289">
        <f>'Por Región (G)'!Q9</f>
        <v>35688.574209686274</v>
      </c>
      <c r="H11" s="172">
        <f>'Por Región (G)'!R9</f>
        <v>37176.645568881664</v>
      </c>
      <c r="I11" s="173">
        <f>+H11/G11-1</f>
        <v>4.1696015942029652E-2</v>
      </c>
      <c r="J11" s="16"/>
      <c r="L11" s="41" t="s">
        <v>12</v>
      </c>
      <c r="M11" s="199">
        <f>E12</f>
        <v>699.95844789040837</v>
      </c>
    </row>
    <row r="12" spans="3:13">
      <c r="C12" s="170" t="s">
        <v>12</v>
      </c>
      <c r="D12" s="171">
        <f>'Por Región (G)'!O10</f>
        <v>571.54371810643738</v>
      </c>
      <c r="E12" s="172">
        <f>'Por Región (G)'!P10</f>
        <v>699.95844789040837</v>
      </c>
      <c r="F12" s="173">
        <f>+E12/D12-1</f>
        <v>0.22468050249842242</v>
      </c>
      <c r="G12" s="289">
        <f>'Por Región (G)'!Q10</f>
        <v>5275.8329300147698</v>
      </c>
      <c r="H12" s="172">
        <f>'Por Región (G)'!R10</f>
        <v>5921.6443815124831</v>
      </c>
      <c r="I12" s="173">
        <f>+H12/G12-1</f>
        <v>0.12240938256850864</v>
      </c>
      <c r="J12" s="16"/>
      <c r="L12" s="41" t="s">
        <v>10</v>
      </c>
      <c r="M12" s="199">
        <f>E10</f>
        <v>295.20926554253037</v>
      </c>
    </row>
    <row r="13" spans="3:13">
      <c r="C13" s="174" t="s">
        <v>11</v>
      </c>
      <c r="D13" s="318">
        <f>'Por Región (G)'!O11</f>
        <v>37.350813733333332</v>
      </c>
      <c r="E13" s="175">
        <f>'Por Región (G)'!P11</f>
        <v>35.988996810667828</v>
      </c>
      <c r="F13" s="176">
        <f>+E13/D13-1</f>
        <v>-3.6460167438070124E-2</v>
      </c>
      <c r="G13" s="290">
        <f>'Por Región (G)'!Q11</f>
        <v>312.52922560000002</v>
      </c>
      <c r="H13" s="175">
        <f>'Por Región (G)'!R11</f>
        <v>308.60399081066788</v>
      </c>
      <c r="I13" s="176">
        <f>+H13/G13-1</f>
        <v>-1.2559576730132638E-2</v>
      </c>
      <c r="J13" s="16"/>
      <c r="L13" s="41" t="s">
        <v>11</v>
      </c>
      <c r="M13" s="199">
        <f>E13</f>
        <v>35.988996810667828</v>
      </c>
    </row>
    <row r="14" spans="3:13" ht="13.5" thickBot="1">
      <c r="C14" s="179" t="s">
        <v>108</v>
      </c>
      <c r="D14" s="180">
        <f>SUM(D10:D13)</f>
        <v>4961.5727580557814</v>
      </c>
      <c r="E14" s="181">
        <f>SUM(E10:E13)</f>
        <v>5090.2095571366663</v>
      </c>
      <c r="F14" s="182">
        <f>+E14/D14-1</f>
        <v>2.5926617496846216E-2</v>
      </c>
      <c r="G14" s="291">
        <f>SUM(G10:G13)</f>
        <v>44199.054153555568</v>
      </c>
      <c r="H14" s="181">
        <f>SUM(H10:H13)</f>
        <v>46219.811754613387</v>
      </c>
      <c r="I14" s="182">
        <f>+H14/G14-1</f>
        <v>4.5719476123569081E-2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49" t="s">
        <v>93</v>
      </c>
      <c r="D18" s="349"/>
      <c r="E18" s="349"/>
      <c r="F18" s="349"/>
      <c r="G18" s="350" t="s">
        <v>107</v>
      </c>
      <c r="H18" s="351"/>
      <c r="I18" s="351"/>
      <c r="J18" s="351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4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3" t="s">
        <v>98</v>
      </c>
      <c r="D53" s="69"/>
      <c r="E53" s="69"/>
      <c r="F53" s="69"/>
      <c r="G53" s="69"/>
      <c r="H53" s="69"/>
      <c r="I53" s="27"/>
    </row>
    <row r="54" spans="3:15" ht="15">
      <c r="C54" s="345" t="s">
        <v>13</v>
      </c>
      <c r="D54" s="347" t="s">
        <v>134</v>
      </c>
      <c r="E54" s="348"/>
      <c r="F54" s="348"/>
      <c r="G54" s="348"/>
      <c r="H54" s="348"/>
    </row>
    <row r="55" spans="3:15">
      <c r="C55" s="346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4" t="s">
        <v>10</v>
      </c>
      <c r="D56" s="285">
        <f>'Resumen (G)'!D14-'PorZona (G)'!D58</f>
        <v>103.25436633750016</v>
      </c>
      <c r="E56" s="187">
        <v>71.102434100772228</v>
      </c>
      <c r="F56" s="187">
        <v>0</v>
      </c>
      <c r="G56" s="187">
        <v>120.85246510425799</v>
      </c>
      <c r="H56" s="187">
        <f>SUM(D56:G56)</f>
        <v>295.20926554253037</v>
      </c>
      <c r="I56" s="283"/>
      <c r="K56" s="264"/>
      <c r="L56" s="264"/>
      <c r="M56" s="264"/>
      <c r="N56" s="264"/>
      <c r="O56" s="264"/>
    </row>
    <row r="57" spans="3:15">
      <c r="C57" s="110" t="s">
        <v>9</v>
      </c>
      <c r="D57" s="286">
        <v>0</v>
      </c>
      <c r="E57" s="188">
        <v>1306.5668762947275</v>
      </c>
      <c r="F57" s="313">
        <v>6.4599999999999996E-3</v>
      </c>
      <c r="G57" s="188">
        <v>2752.4795105983326</v>
      </c>
      <c r="H57" s="188">
        <f>SUM(D57:G57)</f>
        <v>4059.0528468930602</v>
      </c>
      <c r="I57" s="283"/>
      <c r="K57" s="264"/>
      <c r="L57" s="264"/>
      <c r="M57" s="264"/>
      <c r="N57" s="264"/>
      <c r="O57" s="264"/>
    </row>
    <row r="58" spans="3:15">
      <c r="C58" s="110" t="s">
        <v>12</v>
      </c>
      <c r="D58" s="286">
        <v>147.29310947999994</v>
      </c>
      <c r="E58" s="188">
        <v>212.9891706061164</v>
      </c>
      <c r="F58" s="188">
        <f>'Resumen (G)'!D15+0.018385</f>
        <v>100.31162323500006</v>
      </c>
      <c r="G58" s="188">
        <v>239.36454456929198</v>
      </c>
      <c r="H58" s="188">
        <f>SUM(D58:G58)</f>
        <v>699.95844789040837</v>
      </c>
      <c r="I58" s="283"/>
      <c r="K58" s="264"/>
      <c r="L58" s="264"/>
      <c r="M58" s="264"/>
      <c r="N58" s="264"/>
      <c r="O58" s="264"/>
    </row>
    <row r="59" spans="3:15">
      <c r="C59" s="185" t="s">
        <v>11</v>
      </c>
      <c r="D59" s="287">
        <v>0</v>
      </c>
      <c r="E59" s="189">
        <v>0</v>
      </c>
      <c r="F59" s="189">
        <v>0</v>
      </c>
      <c r="G59" s="189">
        <f>E13</f>
        <v>35.988996810667828</v>
      </c>
      <c r="H59" s="189">
        <f>SUM(D59:G59)</f>
        <v>35.988996810667828</v>
      </c>
      <c r="I59" s="283"/>
      <c r="L59" s="264"/>
    </row>
    <row r="60" spans="3:15" ht="13.5" thickBot="1">
      <c r="C60" s="93" t="s">
        <v>108</v>
      </c>
      <c r="D60" s="190">
        <f>SUM(D56:D59)</f>
        <v>250.5474758175001</v>
      </c>
      <c r="E60" s="191">
        <f>SUM(E56:E59)</f>
        <v>1590.6584810016161</v>
      </c>
      <c r="F60" s="191">
        <f>SUM(F56:F59)</f>
        <v>100.31808323500006</v>
      </c>
      <c r="G60" s="191">
        <f>SUM(G56:G59)</f>
        <v>3148.6855170825502</v>
      </c>
      <c r="H60" s="191">
        <f>SUM(H56:H59)</f>
        <v>5090.2095571366663</v>
      </c>
    </row>
    <row r="61" spans="3:15" ht="6.75" customHeight="1"/>
    <row r="64" spans="3:15">
      <c r="E64" s="264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zoomScale="120" zoomScaleNormal="100" zoomScaleSheetLayoutView="120" workbookViewId="0">
      <selection activeCell="C1" sqref="C1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2" t="s">
        <v>129</v>
      </c>
      <c r="E6" s="353"/>
      <c r="F6" s="341" t="s">
        <v>74</v>
      </c>
      <c r="G6" s="343" t="s">
        <v>130</v>
      </c>
      <c r="H6" s="344"/>
      <c r="I6" s="341" t="s">
        <v>74</v>
      </c>
      <c r="O6" s="36"/>
      <c r="P6" s="7"/>
      <c r="Q6" s="354" t="s">
        <v>116</v>
      </c>
      <c r="R6" s="354"/>
    </row>
    <row r="7" spans="3:19" ht="12.75" customHeight="1">
      <c r="C7" s="87"/>
      <c r="D7" s="88">
        <v>2022</v>
      </c>
      <c r="E7" s="76">
        <v>2023</v>
      </c>
      <c r="F7" s="342"/>
      <c r="G7" s="205">
        <v>2022</v>
      </c>
      <c r="H7" s="76">
        <v>2023</v>
      </c>
      <c r="I7" s="342"/>
      <c r="N7" s="41"/>
      <c r="O7" s="54">
        <v>2021</v>
      </c>
      <c r="P7" s="199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59">
        <v>4.148833999999999</v>
      </c>
      <c r="E8" s="360">
        <v>3.6183462931508572</v>
      </c>
      <c r="F8" s="193">
        <f>+E8/D8-1</f>
        <v>-0.1278642883396014</v>
      </c>
      <c r="G8" s="302">
        <v>37.674123000000009</v>
      </c>
      <c r="H8" s="296">
        <v>30.518523303150857</v>
      </c>
      <c r="I8" s="193">
        <f>+H8/G8-1</f>
        <v>-0.18993407482502378</v>
      </c>
      <c r="J8" s="16"/>
      <c r="K8" s="35"/>
      <c r="L8" s="35"/>
      <c r="N8" s="41" t="s">
        <v>10</v>
      </c>
      <c r="O8" s="54">
        <f>SUM(D8,D13,D20,D21,D27,D29,D31)</f>
        <v>283.94853940955113</v>
      </c>
      <c r="P8" s="54">
        <f>SUM(E8,E13,E20,E21,E27,E29,E31)</f>
        <v>295.20926554253037</v>
      </c>
      <c r="Q8" s="54">
        <f>SUM(G8,G13,G20,G21,G27,G29,G31)</f>
        <v>2922.1177882545198</v>
      </c>
      <c r="R8" s="54">
        <f>SUM(H8,H13,H20,H21,H27,H29,H31)</f>
        <v>2812.9178134085719</v>
      </c>
    </row>
    <row r="9" spans="3:19" ht="20.100000000000001" customHeight="1">
      <c r="C9" s="96" t="s">
        <v>18</v>
      </c>
      <c r="D9" s="192">
        <v>119.35407169999999</v>
      </c>
      <c r="E9" s="246">
        <v>89.524252384872355</v>
      </c>
      <c r="F9" s="194">
        <f t="shared" ref="F9:F32" si="0">+E9/D9-1</f>
        <v>-0.24992711928677036</v>
      </c>
      <c r="G9" s="206">
        <v>1647.3953032999998</v>
      </c>
      <c r="H9" s="246">
        <v>1365.6338661793145</v>
      </c>
      <c r="I9" s="194">
        <f t="shared" ref="I9:I32" si="1">+H9/G9-1</f>
        <v>-0.17103450310697832</v>
      </c>
      <c r="J9" s="16"/>
      <c r="K9" s="35"/>
      <c r="L9" s="35"/>
      <c r="N9" s="41" t="s">
        <v>9</v>
      </c>
      <c r="O9" s="54">
        <f>SUM(D9,D14,D16,D17,D19,D22,D26,D32)</f>
        <v>4068.7296868064591</v>
      </c>
      <c r="P9" s="54">
        <f>SUM(E9,E14,E16,E17,E19,E22,E26,E32)</f>
        <v>4059.0528468930602</v>
      </c>
      <c r="Q9" s="54">
        <f>SUM(G9,G14,G16,G17,G19,G22,G26,G32)</f>
        <v>35688.574209686274</v>
      </c>
      <c r="R9" s="54">
        <f>SUM(H9,H14,H16,H17,H19,H22,H26,H32)</f>
        <v>37176.645568881664</v>
      </c>
    </row>
    <row r="10" spans="3:19" ht="20.100000000000001" customHeight="1">
      <c r="C10" s="97" t="s">
        <v>19</v>
      </c>
      <c r="D10" s="294">
        <v>2.4884970000000002</v>
      </c>
      <c r="E10" s="269">
        <v>2.2408275377902052</v>
      </c>
      <c r="F10" s="194">
        <f t="shared" si="0"/>
        <v>-9.952572263892423E-2</v>
      </c>
      <c r="G10" s="293">
        <v>35.441040000000001</v>
      </c>
      <c r="H10" s="269">
        <v>29.424768537790207</v>
      </c>
      <c r="I10" s="194">
        <f t="shared" si="1"/>
        <v>-0.16975437126590509</v>
      </c>
      <c r="J10" s="16"/>
      <c r="K10" s="35"/>
      <c r="L10" s="35"/>
      <c r="N10" s="41" t="s">
        <v>12</v>
      </c>
      <c r="O10" s="54">
        <f>SUM(D10,D11,D12,D15,D18,D24,D25,D28,D30)</f>
        <v>571.54371810643738</v>
      </c>
      <c r="P10" s="54">
        <f>SUM(E10,E11,E12,E15,E18,E24,E25,E28,E30)</f>
        <v>699.95844789040837</v>
      </c>
      <c r="Q10" s="54">
        <f>SUM(G10,G11,G12,G15,G18,G24,G25,G28,G30)</f>
        <v>5275.8329300147698</v>
      </c>
      <c r="R10" s="54">
        <f>SUM(H10,H11,H12,H15,H18,H24,H25,H28,H30)</f>
        <v>5921.6443815124831</v>
      </c>
    </row>
    <row r="11" spans="3:19" ht="20.100000000000001" customHeight="1">
      <c r="C11" s="96" t="s">
        <v>20</v>
      </c>
      <c r="D11" s="192">
        <v>98.47206790227068</v>
      </c>
      <c r="E11" s="246">
        <v>161.04908611184587</v>
      </c>
      <c r="F11" s="315">
        <f t="shared" si="0"/>
        <v>0.63547988320586701</v>
      </c>
      <c r="G11" s="206">
        <v>856.90192720227071</v>
      </c>
      <c r="H11" s="246">
        <v>1044.928171608921</v>
      </c>
      <c r="I11" s="194">
        <f t="shared" si="1"/>
        <v>0.21942562904548923</v>
      </c>
      <c r="J11" s="16"/>
      <c r="K11" s="35"/>
      <c r="L11" s="35"/>
      <c r="N11" s="274" t="s">
        <v>11</v>
      </c>
      <c r="O11" s="54">
        <f>D23</f>
        <v>37.350813733333332</v>
      </c>
      <c r="P11" s="54">
        <f>E23</f>
        <v>35.988996810667828</v>
      </c>
      <c r="Q11" s="54">
        <f>G23</f>
        <v>312.52922560000002</v>
      </c>
      <c r="R11" s="54">
        <f>H23</f>
        <v>308.60399081066788</v>
      </c>
    </row>
    <row r="12" spans="3:19" ht="20.100000000000001" customHeight="1">
      <c r="C12" s="96" t="s">
        <v>21</v>
      </c>
      <c r="D12" s="294">
        <v>1.1045389999999999</v>
      </c>
      <c r="E12" s="269">
        <v>1.0200949149718432</v>
      </c>
      <c r="F12" s="194">
        <f t="shared" si="0"/>
        <v>-7.6451881760767781E-2</v>
      </c>
      <c r="G12" s="293">
        <v>8.5857390000000002</v>
      </c>
      <c r="H12" s="269">
        <v>9.211250914971842</v>
      </c>
      <c r="I12" s="194">
        <f t="shared" si="1"/>
        <v>7.2854755423131579E-2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2">
        <v>68.629996199999994</v>
      </c>
      <c r="E13" s="246">
        <v>56.064351096109583</v>
      </c>
      <c r="F13" s="194">
        <f t="shared" si="0"/>
        <v>-0.18309260964071583</v>
      </c>
      <c r="G13" s="206">
        <v>1086.5179748</v>
      </c>
      <c r="H13" s="246">
        <v>1012.6534691411097</v>
      </c>
      <c r="I13" s="194">
        <f t="shared" si="1"/>
        <v>-6.7982773752534476E-2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2">
        <v>350.35298166666666</v>
      </c>
      <c r="E14" s="246">
        <v>361.76374957259247</v>
      </c>
      <c r="F14" s="194">
        <f t="shared" si="0"/>
        <v>3.2569347209901123E-2</v>
      </c>
      <c r="G14" s="206">
        <v>2486.9009869999995</v>
      </c>
      <c r="H14" s="246">
        <v>2500.9356777404628</v>
      </c>
      <c r="I14" s="194">
        <f t="shared" si="1"/>
        <v>5.6434457237453106E-3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2">
        <v>141.08624706666663</v>
      </c>
      <c r="E15" s="246">
        <v>115.64783461969674</v>
      </c>
      <c r="F15" s="194">
        <f t="shared" si="0"/>
        <v>-0.18030398409385451</v>
      </c>
      <c r="G15" s="206">
        <v>1526.5037735999999</v>
      </c>
      <c r="H15" s="246">
        <v>1462.8653584846968</v>
      </c>
      <c r="I15" s="194">
        <f t="shared" si="1"/>
        <v>-4.1688999539924332E-2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2">
        <v>706.0502619474853</v>
      </c>
      <c r="E16" s="246">
        <v>596.87602194201202</v>
      </c>
      <c r="F16" s="194">
        <f t="shared" si="0"/>
        <v>-0.15462672544634426</v>
      </c>
      <c r="G16" s="206">
        <v>7612.4393610952975</v>
      </c>
      <c r="H16" s="246">
        <v>6606.196380804512</v>
      </c>
      <c r="I16" s="194">
        <f t="shared" si="1"/>
        <v>-0.1321840388553196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2">
        <v>59.952709133333336</v>
      </c>
      <c r="E17" s="246">
        <v>19.455743710502617</v>
      </c>
      <c r="F17" s="194">
        <f t="shared" si="0"/>
        <v>-0.67548182572978432</v>
      </c>
      <c r="G17" s="206">
        <v>1708.3151702</v>
      </c>
      <c r="H17" s="246">
        <v>1577.7799410974026</v>
      </c>
      <c r="I17" s="194">
        <f t="shared" si="1"/>
        <v>-7.6411678231081415E-2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2">
        <v>182.47702106666671</v>
      </c>
      <c r="E18" s="246">
        <v>200.67972831499995</v>
      </c>
      <c r="F18" s="194">
        <f t="shared" si="0"/>
        <v>9.9753421783902452E-2</v>
      </c>
      <c r="G18" s="206">
        <v>1375.6858376000002</v>
      </c>
      <c r="H18" s="246">
        <v>1565.8246626475</v>
      </c>
      <c r="I18" s="194">
        <f t="shared" si="1"/>
        <v>0.13821384203475762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2">
        <v>180.77058446666672</v>
      </c>
      <c r="E19" s="246">
        <v>145.28480350933771</v>
      </c>
      <c r="F19" s="194">
        <f t="shared" si="0"/>
        <v>-0.19630285016792892</v>
      </c>
      <c r="G19" s="206">
        <v>2497.2065572000001</v>
      </c>
      <c r="H19" s="246">
        <v>2305.6787511291782</v>
      </c>
      <c r="I19" s="194">
        <f t="shared" si="1"/>
        <v>-7.6696821702075368E-2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2">
        <v>56.593375994545731</v>
      </c>
      <c r="E20" s="246">
        <v>102.85207917880747</v>
      </c>
      <c r="F20" s="194">
        <f t="shared" si="0"/>
        <v>0.81738723607370578</v>
      </c>
      <c r="G20" s="206">
        <v>508.03780551947176</v>
      </c>
      <c r="H20" s="246">
        <v>487.4943214274773</v>
      </c>
      <c r="I20" s="194">
        <f t="shared" si="1"/>
        <v>-4.0436919986670317E-2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294">
        <v>5.6665432666666655</v>
      </c>
      <c r="E21" s="269">
        <v>6.4756233525000004</v>
      </c>
      <c r="F21" s="194">
        <f t="shared" si="0"/>
        <v>0.14278194796336119</v>
      </c>
      <c r="G21" s="206">
        <v>52.703405400000001</v>
      </c>
      <c r="H21" s="246">
        <v>64.145029732499992</v>
      </c>
      <c r="I21" s="194">
        <f t="shared" si="1"/>
        <v>0.21709459276231113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2">
        <v>2550.2147655589738</v>
      </c>
      <c r="E22" s="246">
        <v>2753.0380640208205</v>
      </c>
      <c r="F22" s="194">
        <f t="shared" si="0"/>
        <v>7.953185010180519E-2</v>
      </c>
      <c r="G22" s="206">
        <v>18830.435593242302</v>
      </c>
      <c r="H22" s="246">
        <v>21901.264189229285</v>
      </c>
      <c r="I22" s="194">
        <f t="shared" si="1"/>
        <v>0.16307793735207143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2">
        <v>37.350813733333332</v>
      </c>
      <c r="E23" s="246">
        <v>35.988996810667828</v>
      </c>
      <c r="F23" s="194">
        <f t="shared" si="0"/>
        <v>-3.6460167438070124E-2</v>
      </c>
      <c r="G23" s="206">
        <v>312.52922560000002</v>
      </c>
      <c r="H23" s="246">
        <v>308.60399081066788</v>
      </c>
      <c r="I23" s="194">
        <f t="shared" si="1"/>
        <v>-1.2559576730132638E-2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4">
        <v>0.27570699999999998</v>
      </c>
      <c r="E24" s="269">
        <v>0.10482786939116587</v>
      </c>
      <c r="F24" s="194">
        <f t="shared" si="0"/>
        <v>-0.61978524523800305</v>
      </c>
      <c r="G24" s="293">
        <v>1.3524300000000002</v>
      </c>
      <c r="H24" s="269">
        <v>1.4274793318911658</v>
      </c>
      <c r="I24" s="194">
        <f t="shared" si="1"/>
        <v>5.5492211716070772E-2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2">
        <v>64.893558333333331</v>
      </c>
      <c r="E25" s="246">
        <v>164.4697391249999</v>
      </c>
      <c r="F25" s="194">
        <f t="shared" si="0"/>
        <v>1.534454009752122</v>
      </c>
      <c r="G25" s="206">
        <v>522.17892599999993</v>
      </c>
      <c r="H25" s="246">
        <v>972.23241525499986</v>
      </c>
      <c r="I25" s="194">
        <f t="shared" si="1"/>
        <v>0.86187601001538683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2">
        <v>53.537316999999987</v>
      </c>
      <c r="E26" s="246">
        <v>35.276137587922243</v>
      </c>
      <c r="F26" s="194">
        <f t="shared" si="0"/>
        <v>-0.34109253947256546</v>
      </c>
      <c r="G26" s="206">
        <v>693.20199864867561</v>
      </c>
      <c r="H26" s="246">
        <v>615.93543890151159</v>
      </c>
      <c r="I26" s="194">
        <f t="shared" si="1"/>
        <v>-0.11146326741380874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2">
        <v>145.94068294833869</v>
      </c>
      <c r="E27" s="246">
        <v>123.5160856499393</v>
      </c>
      <c r="F27" s="194">
        <f t="shared" si="0"/>
        <v>-0.153655559542211</v>
      </c>
      <c r="G27" s="206">
        <v>1193.7766015350478</v>
      </c>
      <c r="H27" s="246">
        <v>1176.9855398323111</v>
      </c>
      <c r="I27" s="194">
        <f t="shared" si="1"/>
        <v>-1.4065497414797234E-2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2">
        <v>67.305219737500011</v>
      </c>
      <c r="E28" s="246">
        <v>45.84980507186193</v>
      </c>
      <c r="F28" s="194">
        <f t="shared" si="0"/>
        <v>-0.31877787115646106</v>
      </c>
      <c r="G28" s="206">
        <v>832.8235336125</v>
      </c>
      <c r="H28" s="246">
        <v>757.90054538686206</v>
      </c>
      <c r="I28" s="315">
        <f t="shared" si="1"/>
        <v>-8.9962621373879781E-2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294">
        <v>1.8685589999999999</v>
      </c>
      <c r="E29" s="269">
        <v>1.5822319720231051</v>
      </c>
      <c r="F29" s="194">
        <f t="shared" si="0"/>
        <v>-0.15323413816577092</v>
      </c>
      <c r="G29" s="206">
        <v>33.502946000000001</v>
      </c>
      <c r="H29" s="246">
        <v>31.215997972023107</v>
      </c>
      <c r="I29" s="194">
        <f t="shared" si="1"/>
        <v>-6.826110241102068E-2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2">
        <v>13.440861</v>
      </c>
      <c r="E30" s="246">
        <v>8.8965043248507012</v>
      </c>
      <c r="F30" s="194">
        <f t="shared" si="0"/>
        <v>-0.33810011688606101</v>
      </c>
      <c r="G30" s="206">
        <v>116.35972300000002</v>
      </c>
      <c r="H30" s="246">
        <v>77.829729344850676</v>
      </c>
      <c r="I30" s="194">
        <f t="shared" si="1"/>
        <v>-0.33112826897284153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2">
        <v>1.1005480000000003</v>
      </c>
      <c r="E31" s="246">
        <v>1.1005480000000001</v>
      </c>
      <c r="F31" s="194">
        <f>+E31/D31-1</f>
        <v>0</v>
      </c>
      <c r="G31" s="206">
        <v>9.9049320000000041</v>
      </c>
      <c r="H31" s="246">
        <v>9.9049320000000005</v>
      </c>
      <c r="I31" s="194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6">
        <v>48.496995333333338</v>
      </c>
      <c r="E32" s="247">
        <v>57.834074164999983</v>
      </c>
      <c r="F32" s="195">
        <f t="shared" si="0"/>
        <v>0.19252901684919466</v>
      </c>
      <c r="G32" s="207">
        <v>212.679239</v>
      </c>
      <c r="H32" s="247">
        <v>303.22132379999999</v>
      </c>
      <c r="I32" s="195">
        <f t="shared" si="1"/>
        <v>0.42572131264772861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2" t="s">
        <v>108</v>
      </c>
      <c r="D33" s="89">
        <f>SUM(D8:D32)</f>
        <v>4961.5727580557814</v>
      </c>
      <c r="E33" s="248">
        <f>SUM(E8:E32)</f>
        <v>5090.2095571366681</v>
      </c>
      <c r="F33" s="94">
        <f>+E33/D33-1</f>
        <v>2.592661749684666E-2</v>
      </c>
      <c r="G33" s="208">
        <f>SUM(G8:G32)</f>
        <v>44199.054153555568</v>
      </c>
      <c r="H33" s="248">
        <f>SUM(H8:H32)</f>
        <v>46219.81175461338</v>
      </c>
      <c r="I33" s="209">
        <f>+H33/G33-1</f>
        <v>4.5719476123568858E-2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5" t="s">
        <v>45</v>
      </c>
    </row>
    <row r="44" spans="3:19">
      <c r="C44" s="15"/>
      <c r="N44" s="39" t="s">
        <v>30</v>
      </c>
      <c r="O44" s="40">
        <v>2753.0380640208205</v>
      </c>
      <c r="S44" s="36"/>
    </row>
    <row r="45" spans="3:19">
      <c r="C45" s="15"/>
      <c r="N45" s="39" t="s">
        <v>24</v>
      </c>
      <c r="O45" s="40">
        <v>596.87602194201202</v>
      </c>
      <c r="S45" s="36"/>
    </row>
    <row r="46" spans="3:19">
      <c r="C46" s="15"/>
      <c r="N46" s="39" t="s">
        <v>59</v>
      </c>
      <c r="O46" s="40">
        <v>361.76374957259247</v>
      </c>
      <c r="S46" s="36"/>
    </row>
    <row r="47" spans="3:19">
      <c r="N47" s="39" t="s">
        <v>26</v>
      </c>
      <c r="O47" s="40">
        <v>200.67972831499995</v>
      </c>
      <c r="S47" s="36"/>
    </row>
    <row r="48" spans="3:19">
      <c r="N48" s="39" t="s">
        <v>33</v>
      </c>
      <c r="O48" s="40">
        <v>164.4697391249999</v>
      </c>
      <c r="S48" s="36"/>
    </row>
    <row r="49" spans="14:19">
      <c r="N49" s="39" t="s">
        <v>20</v>
      </c>
      <c r="O49" s="40">
        <v>161.04908611184587</v>
      </c>
      <c r="S49" s="36"/>
    </row>
    <row r="50" spans="14:19">
      <c r="N50" s="39" t="s">
        <v>27</v>
      </c>
      <c r="O50" s="40">
        <v>145.28480350933771</v>
      </c>
      <c r="S50" s="36"/>
    </row>
    <row r="51" spans="14:19">
      <c r="N51" s="39" t="s">
        <v>35</v>
      </c>
      <c r="O51" s="40">
        <v>123.5160856499393</v>
      </c>
      <c r="S51" s="99"/>
    </row>
    <row r="52" spans="14:19">
      <c r="N52" s="39" t="s">
        <v>23</v>
      </c>
      <c r="O52" s="40">
        <v>115.64783461969674</v>
      </c>
      <c r="S52" s="36"/>
    </row>
    <row r="53" spans="14:19">
      <c r="N53" s="39" t="s">
        <v>28</v>
      </c>
      <c r="O53" s="40">
        <v>102.85207917880747</v>
      </c>
      <c r="S53" s="36"/>
    </row>
    <row r="54" spans="14:19">
      <c r="N54" s="39" t="s">
        <v>18</v>
      </c>
      <c r="O54" s="40">
        <v>89.524252384872355</v>
      </c>
      <c r="S54" s="36"/>
    </row>
    <row r="55" spans="14:19">
      <c r="N55" s="39" t="s">
        <v>40</v>
      </c>
      <c r="O55" s="40">
        <v>57.834074164999983</v>
      </c>
      <c r="S55" s="36"/>
    </row>
    <row r="56" spans="14:19">
      <c r="N56" s="39" t="s">
        <v>22</v>
      </c>
      <c r="O56" s="40">
        <v>56.064351096109583</v>
      </c>
      <c r="S56" s="36"/>
    </row>
    <row r="57" spans="14:19">
      <c r="N57" s="39" t="s">
        <v>36</v>
      </c>
      <c r="O57" s="40">
        <v>45.84980507186193</v>
      </c>
      <c r="S57" s="36"/>
    </row>
    <row r="58" spans="14:19">
      <c r="N58" s="39" t="s">
        <v>31</v>
      </c>
      <c r="O58" s="40">
        <v>35.988996810667828</v>
      </c>
      <c r="S58" s="36"/>
    </row>
    <row r="59" spans="14:19">
      <c r="N59" s="39" t="s">
        <v>34</v>
      </c>
      <c r="O59" s="40">
        <v>35.276137587922243</v>
      </c>
      <c r="S59" s="36"/>
    </row>
    <row r="60" spans="14:19">
      <c r="N60" s="39" t="s">
        <v>25</v>
      </c>
      <c r="O60" s="40">
        <v>19.455743710502617</v>
      </c>
      <c r="S60" s="36"/>
    </row>
    <row r="61" spans="14:19">
      <c r="N61" s="39" t="s">
        <v>38</v>
      </c>
      <c r="O61" s="40">
        <v>8.8965043248507012</v>
      </c>
      <c r="S61" s="36"/>
    </row>
    <row r="62" spans="14:19">
      <c r="N62" s="39" t="s">
        <v>29</v>
      </c>
      <c r="O62" s="40">
        <v>6.4756233525000004</v>
      </c>
      <c r="S62" s="36"/>
    </row>
    <row r="63" spans="14:19">
      <c r="N63" s="39" t="s">
        <v>17</v>
      </c>
      <c r="O63" s="40">
        <v>3.6183462931508572</v>
      </c>
      <c r="S63" s="36"/>
    </row>
    <row r="64" spans="14:19">
      <c r="N64" s="39" t="s">
        <v>19</v>
      </c>
      <c r="O64" s="40">
        <v>2.2408275377902052</v>
      </c>
      <c r="S64" s="36"/>
    </row>
    <row r="65" spans="6:19">
      <c r="N65" s="39" t="s">
        <v>37</v>
      </c>
      <c r="O65" s="40">
        <v>1.5822319720231051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1.0200949149718432</v>
      </c>
      <c r="S67" s="36"/>
    </row>
    <row r="68" spans="6:19">
      <c r="N68" t="s">
        <v>32</v>
      </c>
      <c r="O68" s="40">
        <v>0.10482786939116587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2023-10-24T13:39:09Z</dcterms:modified>
</cp:coreProperties>
</file>